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Hướng dẫn" sheetId="1" state="visible" r:id="rId3"/>
    <sheet name="Nhập liệu" sheetId="2" state="visible" r:id="rId4"/>
    <sheet name="Tổng chi phí" sheetId="3" state="visible" r:id="rId5"/>
    <sheet name="Theo tháng" sheetId="4" state="visible" r:id="rId6"/>
    <sheet name="Checklist chi phí ẩn" sheetId="5" state="visible" r:id="rId7"/>
    <sheet name="Nguồn và lưu ý"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<sst xmlns="http://schemas.openxmlformats.org/spreadsheetml/2006/main" count="246" uniqueCount="175">
  <si>
    <t xml:space="preserve">Công cụ tính tổng chi phí CRM trong 12 tháng</t>
  </si>
  <si>
    <t xml:space="preserve">Phanmembiz | Bản 28/10/2026 | Dùng được với bất kỳ phần mềm CRM nào, so sánh tối đa 3 phương án</t>
  </si>
  <si>
    <t xml:space="preserve">Mục đích</t>
  </si>
  <si>
    <t xml:space="preserve">Giúp bạn thấy chi phí thật của một CRM trong 12 tháng, không chỉ giá thuê bao trên trang giá. Phần lớn chi phí ngoài thuê bao (cài đặt, nhập dữ liệu, đào tạo, thời gian của nhân viên, tiện ích bổ sung) thường không có trong con số quảng cáo.</t>
  </si>
  <si>
    <t xml:space="preserve">Cách dùng</t>
  </si>
  <si>
    <t xml:space="preserve">1) Vào sheet Nhập liệu và điền ô nền vàng, chữ xanh. 2) Xem kết quả ở sheet Tổng chi phí (bảng, biểu đồ cột chồng và biểu đồ chi phí tích lũy). 3) Dùng sheet Checklist chi phí ẩn để hỏi nhà cung cấp trước khi ký, rồi điền ước tính vào ô 'Chi phí ẩn khác' ở sheet Nhập liệu.</t>
  </si>
  <si>
    <t xml:space="preserve">Quy ước màu</t>
  </si>
  <si>
    <t xml:space="preserve">Ô nền vàng, chữ xanh: bạn nhập. Ô chữ đen: công thức, đừng sửa. Ô nền đỏ nhạt: cần chú ý. Ô nền xanh nhạt: phương án có tổng thấp nhất.</t>
  </si>
  <si>
    <t xml:space="preserve">QUAN TRỌNG: số mẫu</t>
  </si>
  <si>
    <t xml:space="preserve">Mọi con số điền sẵn là VÍ DỤ GIẢ ĐỊNH để minh họa cách tính, KHÔNG phải báo giá hay chi phí thực tế của bất kỳ nhà cung cấp nào. Riêng giá thuê bao của Phương án A và B được lấy theo giá niêm yết (USD) của hai gói của một CRM đọc ngày 28/10/2026, chỉ làm ví dụ (xem sheet Nguồn và lưu ý); hãy thay bằng báo giá hiện hành bạn nhận được.</t>
  </si>
  <si>
    <t xml:space="preserve">Tỷ giá và thuế</t>
  </si>
  <si>
    <t xml:space="preserve">Tỷ giá USD sang VND và thuế GTGT trong file là giả định. Hãy thay bằng tỷ giá và mức thuế thực tế, và hỏi kế toán về cách hạch toán, thuế nhà thầu nước ngoài và xuất hóa đơn nếu mua từ nhà cung cấp nước ngoài. File không đưa ra tư vấn thuế.</t>
  </si>
  <si>
    <t xml:space="preserve">Cách tính</t>
  </si>
  <si>
    <t xml:space="preserve">Chi phí thuê bao mỗi tháng = số người dùng của tháng x giá mỗi người (đã quy VND) x (1 + thuế). Người thêm giữa năm được tính từ tháng bạn chọn. Chi phí một lần (cài đặt, nhập dữ liệu, đào tạo) đặt vào tháng 1. Thời gian nhân viên = giờ x đơn giá giờ. Dự phòng cộng thêm tỷ lệ % trên tổng. Đây là mô hình đơn giản: thanh toán theo năm được quy đều theo tháng, chưa mô phỏng dòng tiền trả trước một lần.</t>
  </si>
  <si>
    <t xml:space="preserve">Giới hạn</t>
  </si>
  <si>
    <t xml:space="preserve">File không biết giá thật, không biết nhà cung cấp tăng giá khi gia hạn, không tự phát hiện việc bạn vượt giới hạn của gói (số bản ghi, số tự động hóa, dung lượng) và phải nâng cấp. Các câu hỏi này nằm trong sheet Checklist chi phí ẩn. Kết quả là ước tính để so sánh, không phải cam kết.</t>
  </si>
  <si>
    <t xml:space="preserve">Nhập liệu</t>
  </si>
  <si>
    <t xml:space="preserve">Ô nền vàng, chữ xanh là ô cần chỉnh. Mọi giá trị điền sẵn là VÍ DỤ GIẢ ĐỊNH (xem sheet Hướng dẫn).</t>
  </si>
  <si>
    <t xml:space="preserve">Thông số chung</t>
  </si>
  <si>
    <t xml:space="preserve">Giá trị</t>
  </si>
  <si>
    <t xml:space="preserve">Giải thích</t>
  </si>
  <si>
    <t xml:space="preserve">Tỷ giá USD sang VND (giả định)</t>
  </si>
  <si>
    <t xml:space="preserve">Dùng khi giá niêm yết là USD. Thay bằng tỷ giá thực tế.</t>
  </si>
  <si>
    <t xml:space="preserve">Thuế GTGT áp lên phí thuê bao (giả định)</t>
  </si>
  <si>
    <t xml:space="preserve">Hỏi kế toán: giá niêm yết đã gồm thuế chưa, có thuế nhà thầu không. Đặt 0% nếu giá đã gồm thuế.</t>
  </si>
  <si>
    <t xml:space="preserve">Đơn giá giờ làm việc nội bộ (VND/giờ, giả định)</t>
  </si>
  <si>
    <t xml:space="preserve">Chi phí quy đổi một giờ công của nhân viên. Dùng cho thời gian quản trị và làm quen.</t>
  </si>
  <si>
    <t xml:space="preserve">Thông số theo phương án</t>
  </si>
  <si>
    <t xml:space="preserve">Phương án A</t>
  </si>
  <si>
    <t xml:space="preserve">Phương án B</t>
  </si>
  <si>
    <t xml:space="preserve">Phương án C</t>
  </si>
  <si>
    <t xml:space="preserve">Tên phương án (tự đặt)</t>
  </si>
  <si>
    <t xml:space="preserve">Gói thấp (ví dụ)</t>
  </si>
  <si>
    <t xml:space="preserve">Gói trung (ví dụ)</t>
  </si>
  <si>
    <t xml:space="preserve">CRM khác (giả định)</t>
  </si>
  <si>
    <t xml:space="preserve">Đặt tên dễ nhận ra, ví dụ tên CRM và gói.</t>
  </si>
  <si>
    <t xml:space="preserve">Đơn vị tiền của giá niêm yết</t>
  </si>
  <si>
    <t xml:space="preserve">USD</t>
  </si>
  <si>
    <t xml:space="preserve">VND</t>
  </si>
  <si>
    <t xml:space="preserve">Chọn USD hoặc VND.</t>
  </si>
  <si>
    <t xml:space="preserve">Giá mỗi người mỗi tháng, khi trả theo NĂM</t>
  </si>
  <si>
    <t xml:space="preserve">Theo đơn vị tiền ở dòng trên. Chưa gồm thuế nếu bạn nhập thuế ở trên.</t>
  </si>
  <si>
    <t xml:space="preserve">Giá mỗi người mỗi tháng, khi trả theo THÁNG</t>
  </si>
  <si>
    <t xml:space="preserve">Theo đơn vị tiền ở dòng trên.</t>
  </si>
  <si>
    <t xml:space="preserve">Hình thức thanh toán dự định</t>
  </si>
  <si>
    <t xml:space="preserve">Theo năm</t>
  </si>
  <si>
    <t xml:space="preserve">Theo tháng</t>
  </si>
  <si>
    <t xml:space="preserve">Chọn Theo năm hoặc Theo tháng.</t>
  </si>
  <si>
    <t xml:space="preserve">Số người dùng ban đầu</t>
  </si>
  <si>
    <t xml:space="preserve">Số người dùng ngay từ tháng 1.</t>
  </si>
  <si>
    <t xml:space="preserve">Số người thêm trong năm</t>
  </si>
  <si>
    <t xml:space="preserve">Nhân sự dự kiến tuyển hoặc mở rộng. 0 nếu không có.</t>
  </si>
  <si>
    <t xml:space="preserve">Người thêm tính từ tháng thứ (1 đến 12)</t>
  </si>
  <si>
    <t xml:space="preserve">Giả định người thêm được trả phí từ tháng này đến hết năm.</t>
  </si>
  <si>
    <t xml:space="preserve">Phí cài đặt, cấu hình một lần (VND)</t>
  </si>
  <si>
    <t xml:space="preserve">Báo giá triển khai của đối tác hoặc nhà cung cấp. 0 nếu tự làm (nhưng hãy tính giờ công ở dưới).</t>
  </si>
  <si>
    <t xml:space="preserve">Phí nhập, chuyển dữ liệu một lần (VND)</t>
  </si>
  <si>
    <t xml:space="preserve">Chuyển từ Excel hoặc phần mềm cũ, dọn dữ liệu.</t>
  </si>
  <si>
    <t xml:space="preserve">Phí đào tạo một lần (VND)</t>
  </si>
  <si>
    <t xml:space="preserve">Buổi đào tạo do đối tác, nhà cung cấp tổ chức.</t>
  </si>
  <si>
    <t xml:space="preserve">Tích hợp, tiện ích bổ sung (VND mỗi tháng)</t>
  </si>
  <si>
    <t xml:space="preserve">Kết nối email, tổng đài, kế toán, tiện ích trả phí thêm.</t>
  </si>
  <si>
    <t xml:space="preserve">Giờ quản trị hệ thống mỗi tháng</t>
  </si>
  <si>
    <t xml:space="preserve">Người nội bộ làm quản trị: thêm người dùng, sửa trường, xử lý lỗi.</t>
  </si>
  <si>
    <t xml:space="preserve">Giờ làm quen mỗi người dùng (một lần)</t>
  </si>
  <si>
    <t xml:space="preserve">Thời gian mỗi nhân viên học và chuyển thói quen, tính theo đơn giá giờ nội bộ.</t>
  </si>
  <si>
    <t xml:space="preserve">Chi phí hỗ trợ, bảo trì thêm mỗi năm (VND)</t>
  </si>
  <si>
    <t xml:space="preserve">Gói hỗ trợ trả phí, giờ hỗ trợ thêm. 0 nếu đã có trong giá.</t>
  </si>
  <si>
    <t xml:space="preserve">Chi phí ẩn khác đã ước tính, tổng 12 tháng (VND)</t>
  </si>
  <si>
    <t xml:space="preserve">Lấy từ sheet Checklist chi phí ẩn (tổng cuối cột) hoặc tự ước tính.</t>
  </si>
  <si>
    <t xml:space="preserve">Dự phòng (% trên tổng)</t>
  </si>
  <si>
    <t xml:space="preserve">Khoản đệm cho chi phí phát sinh. 0% nếu không muốn dự phòng.</t>
  </si>
  <si>
    <t xml:space="preserve">Kiểm tra dữ liệu</t>
  </si>
  <si>
    <t xml:space="preserve">Báo 'Cần kiểm tra' nếu số người dùng hoặc giá bằng 0, hoặc tháng bắt đầu ngoài 1 đến 12.</t>
  </si>
  <si>
    <t xml:space="preserve">Tổng chi phí 12 tháng</t>
  </si>
  <si>
    <t xml:space="preserve">Kết quả từ sheet Nhập liệu. Số mẫu là ví dụ giả định, không phải báo giá thực tế.</t>
  </si>
  <si>
    <t xml:space="preserve">Hạng mục (VND, 12 tháng)</t>
  </si>
  <si>
    <t xml:space="preserve">Thuê bao (đã gồm thuế)</t>
  </si>
  <si>
    <t xml:space="preserve">Tích hợp, tiện ích bổ sung</t>
  </si>
  <si>
    <t xml:space="preserve">Thời gian quản trị nội bộ</t>
  </si>
  <si>
    <t xml:space="preserve">Hỗ trợ và chi phí ẩn khác</t>
  </si>
  <si>
    <t xml:space="preserve">Cài đặt, nhập dữ liệu, đào tạo</t>
  </si>
  <si>
    <t xml:space="preserve">Thời gian làm quen của nhân viên</t>
  </si>
  <si>
    <t xml:space="preserve">Cộng trước dự phòng</t>
  </si>
  <si>
    <t xml:space="preserve">Dự phòng</t>
  </si>
  <si>
    <t xml:space="preserve">TỔNG CHI PHÍ 12 THÁNG</t>
  </si>
  <si>
    <t xml:space="preserve">Chi phí trung bình mỗi người mỗi tháng</t>
  </si>
  <si>
    <t xml:space="preserve">Chi phí ngoài thuê bao (VND)</t>
  </si>
  <si>
    <t xml:space="preserve">Thuê bao chiếm bao nhiêu % tổng</t>
  </si>
  <si>
    <t xml:space="preserve">Tổng so với giá thuê bao đơn thuần (lần)</t>
  </si>
  <si>
    <t xml:space="preserve">Cách đọc: dòng 'Thuê bao chiếm bao nhiêu %' cho biết phần giá thuê bao thực sự chiếm trong tổng. Phần còn lại là chi phí mà trang giá thường không nêu.</t>
  </si>
  <si>
    <t xml:space="preserve">Chi phí theo tháng (công thức, không cần nhập)</t>
  </si>
  <si>
    <t xml:space="preserve">Mỗi khối là một phương án. Cột B đến M là tháng 1 đến 12, cột N là tổng 12 tháng.</t>
  </si>
  <si>
    <t xml:space="preserve">Tháng 1</t>
  </si>
  <si>
    <t xml:space="preserve">Tháng 2</t>
  </si>
  <si>
    <t xml:space="preserve">Tháng 3</t>
  </si>
  <si>
    <t xml:space="preserve">Tháng 4</t>
  </si>
  <si>
    <t xml:space="preserve">Tháng 5</t>
  </si>
  <si>
    <t xml:space="preserve">Tháng 6</t>
  </si>
  <si>
    <t xml:space="preserve">Tháng 7</t>
  </si>
  <si>
    <t xml:space="preserve">Tháng 8</t>
  </si>
  <si>
    <t xml:space="preserve">Tháng 9</t>
  </si>
  <si>
    <t xml:space="preserve">Tháng 10</t>
  </si>
  <si>
    <t xml:space="preserve">Tháng 11</t>
  </si>
  <si>
    <t xml:space="preserve">Tháng 12</t>
  </si>
  <si>
    <t xml:space="preserve">Tổng 12 tháng</t>
  </si>
  <si>
    <t xml:space="preserve">Số người dùng</t>
  </si>
  <si>
    <t xml:space="preserve">Cài đặt, nhập dữ liệu, đào tạo (một lần)</t>
  </si>
  <si>
    <t xml:space="preserve">Tổng chi phí tháng (trước dự phòng)</t>
  </si>
  <si>
    <t xml:space="preserve">Chi phí tích lũy (đã gồm dự phòng)</t>
  </si>
  <si>
    <t xml:space="preserve">Checklist chi phí ẩn: hỏi nhà cung cấp trước khi ký</t>
  </si>
  <si>
    <t xml:space="preserve">Với mỗi dòng: hỏi nhà cung cấp, chọn Đã hỏi, ghi ước tính cho 12 tháng (VND) nếu có chi phí. Để trống nếu chưa biết; đừng điền số đoán nếu không ghi chú.</t>
  </si>
  <si>
    <t xml:space="preserve">#</t>
  </si>
  <si>
    <t xml:space="preserve">Hạng mục</t>
  </si>
  <si>
    <t xml:space="preserve">Câu hỏi cần hỏi</t>
  </si>
  <si>
    <t xml:space="preserve">Đã hỏi</t>
  </si>
  <si>
    <t xml:space="preserve">Ước tính 12 tháng (VND)</t>
  </si>
  <si>
    <t xml:space="preserve">Ghi chú (nguồn câu trả lời, ngày)</t>
  </si>
  <si>
    <t xml:space="preserve">Thuế và tiền tệ</t>
  </si>
  <si>
    <t xml:space="preserve">Giá niêm yết đã gồm thuế chưa? Thanh toán bằng tiền nào, tỷ giá theo ngày nào, có phụ phí thanh toán quốc tế không?</t>
  </si>
  <si>
    <t xml:space="preserve">Chưa</t>
  </si>
  <si>
    <t xml:space="preserve">Thanh toán năm hay tháng</t>
  </si>
  <si>
    <t xml:space="preserve">Chênh lệch giá giữa trả theo năm và theo tháng là bao nhiêu? Trả năm có được hoàn tiền nếu bỏ giữa chừng không?</t>
  </si>
  <si>
    <t xml:space="preserve">Thêm người giữa kỳ</t>
  </si>
  <si>
    <t xml:space="preserve">Thêm người dùng giữa kỳ tính phí thế nào (theo ngày, theo tháng, đến hết kỳ)? Bớt người có được giảm phí không?</t>
  </si>
  <si>
    <t xml:space="preserve">Giới hạn của gói</t>
  </si>
  <si>
    <t xml:space="preserve">Gói có giới hạn số bản ghi, số quy trình tự động, số trường tùy chỉnh, số pipeline, dung lượng không? Vượt thì phải làm gì và tốn bao nhiêu?</t>
  </si>
  <si>
    <t xml:space="preserve">Tính năng cần mà gói thấp không có</t>
  </si>
  <si>
    <t xml:space="preserve">Những tính năng bạn cần (báo cáo, phân quyền, tự động hóa, tích hợp) có nằm trong gói bạn định mua không?</t>
  </si>
  <si>
    <t xml:space="preserve">Phí cài đặt, triển khai</t>
  </si>
  <si>
    <t xml:space="preserve">Báo giá triển khai gồm những gì (cấu hình, tùy chỉnh, kiểm thử)? Phát sinh ngoài phạm vi tính thế nào?</t>
  </si>
  <si>
    <t xml:space="preserve">Nhập, chuyển dữ liệu</t>
  </si>
  <si>
    <t xml:space="preserve">Ai nhập dữ liệu cũ? Có công cụ nhập sẵn không? Dọn dữ liệu trước khi nhập tốn bao nhiêu?</t>
  </si>
  <si>
    <t xml:space="preserve">Tích hợp</t>
  </si>
  <si>
    <t xml:space="preserve">Kết nối với email, tổng đài, Zalo, kế toán, website có sẵn không? Có tốn thêm phí hoặc công phát triển không?</t>
  </si>
  <si>
    <t xml:space="preserve">Tiện ích và phần mở rộng trả phí</t>
  </si>
  <si>
    <t xml:space="preserve">Có tiện ích nào cần mua riêng (ví dụ phần mở rộng có giá riêng)? Tính theo người dùng hay theo hệ thống?</t>
  </si>
  <si>
    <t xml:space="preserve">Dung lượng, gửi email hàng loạt, tin nhắn</t>
  </si>
  <si>
    <t xml:space="preserve">Có giới hạn dung lượng tệp, số email gửi mỗi ngày, số tin nhắn không? Vượt thì tính phí thế nào?</t>
  </si>
  <si>
    <t xml:space="preserve">Tính năng AI</t>
  </si>
  <si>
    <t xml:space="preserve">Tính năng AI có tính theo hạn mức (credit) hoặc theo gói riêng không? Dữ liệu của bạn có được dùng để huấn luyện mô hình không?</t>
  </si>
  <si>
    <t xml:space="preserve">Môi trường thử</t>
  </si>
  <si>
    <t xml:space="preserve">Có môi trường thử nghiệm (sandbox) không, ở gói nào? Có phí thêm không?</t>
  </si>
  <si>
    <t xml:space="preserve">Hỗ trợ</t>
  </si>
  <si>
    <t xml:space="preserve">Mức hỗ trợ nào đi kèm (kênh, giờ, ngôn ngữ, thời gian phản hồi)? Hỗ trợ ưu tiên có tính phí không?</t>
  </si>
  <si>
    <t xml:space="preserve">Đào tạo</t>
  </si>
  <si>
    <t xml:space="preserve">Đào tạo ban đầu gồm mấy buổi? Đào tạo thêm cho người mới tính thế nào?</t>
  </si>
  <si>
    <t xml:space="preserve">Thời gian của nhân viên</t>
  </si>
  <si>
    <t xml:space="preserve">Bao nhiêu giờ mỗi người để học và chuyển thói quen? Ai trong đội là người quản trị và dành bao nhiêu giờ mỗi tháng?</t>
  </si>
  <si>
    <t xml:space="preserve">Năng suất giảm giai đoạn đầu</t>
  </si>
  <si>
    <t xml:space="preserve">Có giai đoạn chạy song song hệ thống cũ không? Doanh số hay thời gian phản hồi có thể giảm tạm thời không?</t>
  </si>
  <si>
    <t xml:space="preserve">Tăng giá khi gia hạn</t>
  </si>
  <si>
    <t xml:space="preserve">Giá có bị tăng khi gia hạn không? Có cam kết giữ giá bao lâu?</t>
  </si>
  <si>
    <t xml:space="preserve">Hợp đồng và rời đi</t>
  </si>
  <si>
    <t xml:space="preserve">Điều khoản hủy, thời hạn tối thiểu thế nào? Xuất toàn bộ dữ liệu khi rời đi có tốn phí không, dưới định dạng nào?</t>
  </si>
  <si>
    <t xml:space="preserve">Dữ liệu và pháp lý</t>
  </si>
  <si>
    <t xml:space="preserve">Dữ liệu lưu ở đâu? Có thỏa thuận xử lý dữ liệu không? (Cần luật sư xác nhận; chi phí pháp lý nếu có ghi vào cột ước tính.)</t>
  </si>
  <si>
    <t xml:space="preserve">Chi phí hệ thống cũ</t>
  </si>
  <si>
    <t xml:space="preserve">Hệ thống cũ còn phải trả đến khi nào? Có phí hủy hoặc chạy song song không?</t>
  </si>
  <si>
    <t xml:space="preserve">Số câu đã hỏi</t>
  </si>
  <si>
    <t xml:space="preserve">Tổng ước tính chi phí ẩn (VND)</t>
  </si>
  <si>
    <t xml:space="preserve">Điền tổng này vào ô 'Chi phí ẩn khác đã ước tính' của phương án bạn đang xem ở sheet Nhập liệu. Nếu so nhiều phương án, làm một bản checklist riêng cho từng phương án.</t>
  </si>
  <si>
    <t xml:space="preserve">Nguồn và lưu ý</t>
  </si>
  <si>
    <t xml:space="preserve">Giá của Phương án A và B</t>
  </si>
  <si>
    <t xml:space="preserve">Hai mức giá (7 và 12 USD mỗi người mỗi tháng khi trả theo năm; 9 và 15 USD khi trả theo tháng) được lấy từ trang giá của Bigin (bigin.com/pricing.html), gói Express và Premier, đọc ngày 28/10/2026. Trang không ghi ngày hiệu lực; trang nêu giá bằng USD và đồng thời nói giá có hoặc chưa gồm thuế địa phương (hai câu không thống nhất trong phần đã đọc). Chỉ dùng làm ví dụ; hãy lấy báo giá hiện hành.</t>
  </si>
  <si>
    <t xml:space="preserve">Mọi số còn lại</t>
  </si>
  <si>
    <t xml:space="preserve">Tỷ giá, thuế, đơn giá giờ, phí cài đặt, nhập dữ liệu, đào tạo, tích hợp, hỗ trợ, giờ quản trị, giờ làm quen, dự phòng, số người dùng và Phương án C là GIẢ ĐỊNH của Phanmembiz để minh họa, không phải số liệu thị trường.</t>
  </si>
  <si>
    <t xml:space="preserve">Mô hình đơn giản</t>
  </si>
  <si>
    <t xml:space="preserve">Thanh toán theo năm được quy đều theo tháng, không mô phỏng dòng tiền trả trước. Không tính giá trị thời gian của tiền, tăng giá khi gia hạn, hay việc phải nâng gói khi vượt giới hạn.</t>
  </si>
  <si>
    <t xml:space="preserve">Thuế và kế toán</t>
  </si>
  <si>
    <t xml:space="preserve">File không tư vấn thuế. Cách hạch toán, thuế GTGT, thuế nhà thầu nước ngoài và hóa đơn khi mua dịch vụ từ nước ngoài cần kế toán hoặc tư vấn thuế xác nhận.</t>
  </si>
  <si>
    <t xml:space="preserve">Không phải báo giá</t>
  </si>
  <si>
    <t xml:space="preserve">Kết quả của file là ước tính để so sánh phương án, không phải báo giá, cam kết hay lời khuyên mua. Phanmembiz là đơn vị triển khai Zoho tại Việt Nam và có lợi ích thương mại khi doanh nghiệp dùng Zoho; file này dùng được với mọi CRM.</t>
  </si>
  <si>
    <t xml:space="preserve">Bài hướng dẫn kèm theo</t>
  </si>
  <si>
    <t xml:space="preserve">Xem bài blog 'Chi phí CRM thực tế cho SME: công cụ tính tổng chi phí 12 tháng' tại https://phanmembiz.com/blogs/chi-phi-crm-thuc-te-cho-sme/ để hiểu từng hạng mục.</t>
  </si>
</sst>
</file>

<file path=xl/styles.xml><?xml version="1.0" encoding="utf-8"?>
<styleSheet xmlns="http://schemas.openxmlformats.org/spreadsheetml/2006/main">
  <numFmts count="8">
    <numFmt numFmtId="164" formatCode="General"/>
    <numFmt numFmtId="165" formatCode="#,##0"/>
    <numFmt numFmtId="166" formatCode="0%"/>
    <numFmt numFmtId="167" formatCode="#,##0.00"/>
    <numFmt numFmtId="168" formatCode="0"/>
    <numFmt numFmtId="169" formatCode="#,##0.0"/>
    <numFmt numFmtId="170" formatCode="0.0%"/>
    <numFmt numFmtId="171" formatCode="0.00"/>
  </numFmts>
  <fonts count="14">
    <font>
      <sz val="11"/>
      <color theme="1"/>
      <name val="Calibri"/>
      <family val="2"/>
      <charset val="1"/>
    </font>
    <font>
      <sz val="10"/>
      <name val="Arial"/>
      <family val="0"/>
    </font>
    <font>
      <sz val="10"/>
      <name val="Arial"/>
      <family val="0"/>
    </font>
    <font>
      <sz val="10"/>
      <name val="Arial"/>
      <family val="0"/>
    </font>
    <font>
      <b val="true"/>
      <sz val="16"/>
      <color rgb="FF1B2A41"/>
      <name val="Arial"/>
      <family val="0"/>
      <charset val="1"/>
    </font>
    <font>
      <i val="true"/>
      <sz val="9"/>
      <color rgb="FF5A6472"/>
      <name val="Arial"/>
      <family val="0"/>
      <charset val="1"/>
    </font>
    <font>
      <b val="true"/>
      <sz val="10"/>
      <name val="Arial"/>
      <family val="0"/>
      <charset val="1"/>
    </font>
    <font>
      <sz val="10"/>
      <name val="Arial"/>
      <family val="0"/>
      <charset val="1"/>
    </font>
    <font>
      <b val="true"/>
      <sz val="10"/>
      <color rgb="FFB42318"/>
      <name val="Arial"/>
      <family val="0"/>
      <charset val="1"/>
    </font>
    <font>
      <b val="true"/>
      <sz val="10"/>
      <color rgb="FFFFFFFF"/>
      <name val="Arial"/>
      <family val="0"/>
      <charset val="1"/>
    </font>
    <font>
      <sz val="10"/>
      <color rgb="FF0000FF"/>
      <name val="Arial"/>
      <family val="0"/>
      <charset val="1"/>
    </font>
    <font>
      <b val="true"/>
      <sz val="18"/>
      <color rgb="FF000000"/>
      <name val="Calibri"/>
      <family val="2"/>
    </font>
    <font>
      <sz val="10"/>
      <color rgb="FF000000"/>
      <name val="Calibri"/>
      <family val="2"/>
    </font>
    <font>
      <b val="true"/>
      <sz val="10"/>
      <color rgb="FF000000"/>
      <name val="Calibri"/>
      <family val="2"/>
    </font>
  </fonts>
  <fills count="5">
    <fill>
      <patternFill patternType="none"/>
    </fill>
    <fill>
      <patternFill patternType="gray125"/>
    </fill>
    <fill>
      <patternFill patternType="solid">
        <fgColor rgb="FFE8EEF7"/>
        <bgColor rgb="FFDCF3E3"/>
      </patternFill>
    </fill>
    <fill>
      <patternFill patternType="solid">
        <fgColor rgb="FF1B2A41"/>
        <bgColor rgb="FF003366"/>
      </patternFill>
    </fill>
    <fill>
      <patternFill patternType="solid">
        <fgColor rgb="FFFFF9DB"/>
        <bgColor rgb="FFFFFFFF"/>
      </patternFill>
    </fill>
  </fills>
  <borders count="2">
    <border diagonalUp="false" diagonalDown="false">
      <left/>
      <right/>
      <top/>
      <bottom/>
      <diagonal/>
    </border>
    <border diagonalUp="false" diagonalDown="false">
      <left style="thin">
        <color rgb="FFC9D1DC"/>
      </left>
      <right style="thin">
        <color rgb="FFC9D1DC"/>
      </right>
      <top style="thin">
        <color rgb="FFC9D1DC"/>
      </top>
      <bottom style="thin">
        <color rgb="FFC9D1D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5" fontId="10" fillId="4"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center" textRotation="0" wrapText="true" indent="0" shrinkToFit="false"/>
      <protection locked="true" hidden="false"/>
    </xf>
    <xf numFmtId="166" fontId="10" fillId="4" borderId="1" xfId="0" applyFont="true" applyBorder="true" applyAlignment="false" applyProtection="false">
      <alignment horizontal="general" vertical="bottom" textRotation="0" wrapText="false" indent="0" shrinkToFit="false"/>
      <protection locked="true" hidden="false"/>
    </xf>
    <xf numFmtId="164" fontId="10" fillId="4" borderId="1" xfId="0" applyFont="true" applyBorder="tru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67" fontId="10" fillId="4" borderId="1" xfId="0" applyFont="true" applyBorder="true" applyAlignment="false" applyProtection="false">
      <alignment horizontal="general" vertical="bottom" textRotation="0" wrapText="false" indent="0" shrinkToFit="false"/>
      <protection locked="true" hidden="false"/>
    </xf>
    <xf numFmtId="168" fontId="10" fillId="4" borderId="1" xfId="0" applyFont="true" applyBorder="true" applyAlignment="false" applyProtection="false">
      <alignment horizontal="general" vertical="bottom" textRotation="0" wrapText="false" indent="0" shrinkToFit="false"/>
      <protection locked="true" hidden="false"/>
    </xf>
    <xf numFmtId="169" fontId="10" fillId="4" borderId="1" xfId="0" applyFont="true" applyBorder="tru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65" fontId="6" fillId="2" borderId="1" xfId="0" applyFont="true" applyBorder="true" applyAlignment="false" applyProtection="false">
      <alignment horizontal="general" vertical="bottom" textRotation="0" wrapText="false" indent="0" shrinkToFit="false"/>
      <protection locked="true" hidden="false"/>
    </xf>
    <xf numFmtId="170" fontId="7" fillId="0" borderId="1" xfId="0" applyFont="true" applyBorder="true" applyAlignment="false" applyProtection="false">
      <alignment horizontal="general" vertical="bottom" textRotation="0" wrapText="false" indent="0" shrinkToFit="false"/>
      <protection locked="true" hidden="false"/>
    </xf>
    <xf numFmtId="171" fontId="7" fillId="0"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center" textRotation="0" wrapText="true" indent="0" shrinkToFit="false"/>
      <protection locked="true" hidden="false"/>
    </xf>
    <xf numFmtId="169" fontId="6" fillId="0" borderId="1" xfId="0" applyFont="true" applyBorder="true" applyAlignment="false" applyProtection="false">
      <alignment horizontal="general"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center" textRotation="0" wrapText="true" indent="0" shrinkToFit="false"/>
      <protection locked="true" hidden="false"/>
    </xf>
    <xf numFmtId="164" fontId="10" fillId="4"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bgColor rgb="FFFBE3E1"/>
        </patternFill>
      </fill>
    </dxf>
    <dxf>
      <fill>
        <patternFill>
          <bgColor rgb="FFDCF3E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78787"/>
      <rgbColor rgb="FF8064A2"/>
      <rgbColor rgb="FFBE4B48"/>
      <rgbColor rgb="FFFFF9DB"/>
      <rgbColor rgb="FFE8EEF7"/>
      <rgbColor rgb="FF660066"/>
      <rgbColor rgb="FFFF8080"/>
      <rgbColor rgb="FF0066CC"/>
      <rgbColor rgb="FFC9D1DC"/>
      <rgbColor rgb="FF000080"/>
      <rgbColor rgb="FFFF00FF"/>
      <rgbColor rgb="FFFFFF00"/>
      <rgbColor rgb="FF00FFFF"/>
      <rgbColor rgb="FF800080"/>
      <rgbColor rgb="FF800000"/>
      <rgbColor rgb="FF008080"/>
      <rgbColor rgb="FF0000FF"/>
      <rgbColor rgb="FF00CCFF"/>
      <rgbColor rgb="FFCCFFFF"/>
      <rgbColor rgb="FFDCF3E3"/>
      <rgbColor rgb="FFFFFF99"/>
      <rgbColor rgb="FF99CCFF"/>
      <rgbColor rgb="FFFF99CC"/>
      <rgbColor rgb="FFCC99FF"/>
      <rgbColor rgb="FFFBE3E1"/>
      <rgbColor rgb="FF4A7EBB"/>
      <rgbColor rgb="FF4BACC6"/>
      <rgbColor rgb="FF98B855"/>
      <rgbColor rgb="FFFFCC00"/>
      <rgbColor rgb="FFF79646"/>
      <rgbColor rgb="FFFF6600"/>
      <rgbColor rgb="FF5A6472"/>
      <rgbColor rgb="FF9BBB59"/>
      <rgbColor rgb="FF003366"/>
      <rgbColor rgb="FF4F81BD"/>
      <rgbColor rgb="FF003300"/>
      <rgbColor rgb="FF333300"/>
      <rgbColor rgb="FFB42318"/>
      <rgbColor rgb="FFC0504D"/>
      <rgbColor rgb="FF333399"/>
      <rgbColor rgb="FF1B2A41"/>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Cấu thành chi phí 12 tháng theo phương án (VND)</a:t>
            </a:r>
          </a:p>
        </c:rich>
      </c:tx>
      <c:overlay val="0"/>
      <c:spPr>
        <a:noFill/>
        <a:ln w="0">
          <a:noFill/>
        </a:ln>
      </c:spPr>
    </c:title>
    <c:autoTitleDeleted val="0"/>
    <c:plotArea>
      <c:barChart>
        <c:barDir val="col"/>
        <c:grouping val="stacked"/>
        <c:varyColors val="0"/>
        <c:ser>
          <c:idx val="0"/>
          <c:order val="0"/>
          <c:tx>
            <c:strRef>
              <c:f>'Tổng chi phí'!A5</c:f>
              <c:strCache>
                <c:ptCount val="1"/>
                <c:pt idx="0">
                  <c:v>Thuê bao (đã gồm thuế)</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'Tổng chi phí'!$B$4:$D$4</c:f>
              <c:strCache>
                <c:ptCount val="3"/>
                <c:pt idx="0">
                  <c:v>Gói thấp (ví dụ)</c:v>
                </c:pt>
                <c:pt idx="1">
                  <c:v>Gói trung (ví dụ)</c:v>
                </c:pt>
                <c:pt idx="2">
                  <c:v>CRM khác (giả định)</c:v>
                </c:pt>
              </c:strCache>
            </c:strRef>
          </c:cat>
          <c:val>
            <c:numRef>
              <c:f>'Tổng chi phí'!$B$5:$D$5</c:f>
              <c:numCache>
                <c:formatCode>#,##0</c:formatCode>
                <c:ptCount val="3"/>
                <c:pt idx="0">
                  <c:v>25410000</c:v>
                </c:pt>
                <c:pt idx="1">
                  <c:v>43560000</c:v>
                </c:pt>
                <c:pt idx="2">
                  <c:v>52272000</c:v>
                </c:pt>
              </c:numCache>
            </c:numRef>
          </c:val>
        </c:ser>
        <c:ser>
          <c:idx val="1"/>
          <c:order val="1"/>
          <c:tx>
            <c:strRef>
              <c:f>'Tổng chi phí'!A6</c:f>
              <c:strCache>
                <c:ptCount val="1"/>
                <c:pt idx="0">
                  <c:v>Tích hợp, tiện ích bổ sung</c:v>
                </c:pt>
              </c:strCache>
            </c:strRef>
          </c:tx>
          <c:spPr>
            <a:solidFill>
              <a:srgbClr val="c0504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'Tổng chi phí'!$B$4:$D$4</c:f>
              <c:strCache>
                <c:ptCount val="3"/>
                <c:pt idx="0">
                  <c:v>Gói thấp (ví dụ)</c:v>
                </c:pt>
                <c:pt idx="1">
                  <c:v>Gói trung (ví dụ)</c:v>
                </c:pt>
                <c:pt idx="2">
                  <c:v>CRM khác (giả định)</c:v>
                </c:pt>
              </c:strCache>
            </c:strRef>
          </c:cat>
          <c:val>
            <c:numRef>
              <c:f>'Tổng chi phí'!$B$6:$D$6</c:f>
              <c:numCache>
                <c:formatCode>#,##0</c:formatCode>
                <c:ptCount val="3"/>
                <c:pt idx="0">
                  <c:v>6000000</c:v>
                </c:pt>
                <c:pt idx="1">
                  <c:v>6000000</c:v>
                </c:pt>
                <c:pt idx="2">
                  <c:v>12000000</c:v>
                </c:pt>
              </c:numCache>
            </c:numRef>
          </c:val>
        </c:ser>
        <c:ser>
          <c:idx val="2"/>
          <c:order val="2"/>
          <c:tx>
            <c:strRef>
              <c:f>'Tổng chi phí'!A7</c:f>
              <c:strCache>
                <c:ptCount val="1"/>
                <c:pt idx="0">
                  <c:v>Thời gian quản trị nội bộ</c:v>
                </c:pt>
              </c:strCache>
            </c:strRef>
          </c:tx>
          <c:spPr>
            <a:solidFill>
              <a:srgbClr val="9bbb59"/>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'Tổng chi phí'!$B$4:$D$4</c:f>
              <c:strCache>
                <c:ptCount val="3"/>
                <c:pt idx="0">
                  <c:v>Gói thấp (ví dụ)</c:v>
                </c:pt>
                <c:pt idx="1">
                  <c:v>Gói trung (ví dụ)</c:v>
                </c:pt>
                <c:pt idx="2">
                  <c:v>CRM khác (giả định)</c:v>
                </c:pt>
              </c:strCache>
            </c:strRef>
          </c:cat>
          <c:val>
            <c:numRef>
              <c:f>'Tổng chi phí'!$B$7:$D$7</c:f>
              <c:numCache>
                <c:formatCode>#,##0</c:formatCode>
                <c:ptCount val="3"/>
                <c:pt idx="0">
                  <c:v>7200000</c:v>
                </c:pt>
                <c:pt idx="1">
                  <c:v>7200000</c:v>
                </c:pt>
                <c:pt idx="2">
                  <c:v>7200000</c:v>
                </c:pt>
              </c:numCache>
            </c:numRef>
          </c:val>
        </c:ser>
        <c:ser>
          <c:idx val="3"/>
          <c:order val="3"/>
          <c:tx>
            <c:strRef>
              <c:f>'Tổng chi phí'!A8</c:f>
              <c:strCache>
                <c:ptCount val="1"/>
                <c:pt idx="0">
                  <c:v>Hỗ trợ và chi phí ẩn khác</c:v>
                </c:pt>
              </c:strCache>
            </c:strRef>
          </c:tx>
          <c:spPr>
            <a:solidFill>
              <a:srgbClr val="8064a2"/>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'Tổng chi phí'!$B$4:$D$4</c:f>
              <c:strCache>
                <c:ptCount val="3"/>
                <c:pt idx="0">
                  <c:v>Gói thấp (ví dụ)</c:v>
                </c:pt>
                <c:pt idx="1">
                  <c:v>Gói trung (ví dụ)</c:v>
                </c:pt>
                <c:pt idx="2">
                  <c:v>CRM khác (giả định)</c:v>
                </c:pt>
              </c:strCache>
            </c:strRef>
          </c:cat>
          <c:val>
            <c:numRef>
              <c:f>'Tổng chi phí'!$B$8:$D$8</c:f>
              <c:numCache>
                <c:formatCode>#,##0</c:formatCode>
                <c:ptCount val="3"/>
                <c:pt idx="0">
                  <c:v>3000000</c:v>
                </c:pt>
                <c:pt idx="1">
                  <c:v>3000000</c:v>
                </c:pt>
                <c:pt idx="2">
                  <c:v>3000000</c:v>
                </c:pt>
              </c:numCache>
            </c:numRef>
          </c:val>
        </c:ser>
        <c:ser>
          <c:idx val="4"/>
          <c:order val="4"/>
          <c:tx>
            <c:strRef>
              <c:f>'Tổng chi phí'!A9</c:f>
              <c:strCache>
                <c:ptCount val="1"/>
                <c:pt idx="0">
                  <c:v>Cài đặt, nhập dữ liệu, đào tạo</c:v>
                </c:pt>
              </c:strCache>
            </c:strRef>
          </c:tx>
          <c:spPr>
            <a:solidFill>
              <a:srgbClr val="4bacc6"/>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'Tổng chi phí'!$B$4:$D$4</c:f>
              <c:strCache>
                <c:ptCount val="3"/>
                <c:pt idx="0">
                  <c:v>Gói thấp (ví dụ)</c:v>
                </c:pt>
                <c:pt idx="1">
                  <c:v>Gói trung (ví dụ)</c:v>
                </c:pt>
                <c:pt idx="2">
                  <c:v>CRM khác (giả định)</c:v>
                </c:pt>
              </c:strCache>
            </c:strRef>
          </c:cat>
          <c:val>
            <c:numRef>
              <c:f>'Tổng chi phí'!$B$9:$D$9</c:f>
              <c:numCache>
                <c:formatCode>#,##0</c:formatCode>
                <c:ptCount val="3"/>
                <c:pt idx="0">
                  <c:v>24000000</c:v>
                </c:pt>
                <c:pt idx="1">
                  <c:v>24000000</c:v>
                </c:pt>
                <c:pt idx="2">
                  <c:v>34000000</c:v>
                </c:pt>
              </c:numCache>
            </c:numRef>
          </c:val>
        </c:ser>
        <c:ser>
          <c:idx val="5"/>
          <c:order val="5"/>
          <c:tx>
            <c:strRef>
              <c:f>'Tổng chi phí'!A10</c:f>
              <c:strCache>
                <c:ptCount val="1"/>
                <c:pt idx="0">
                  <c:v>Thời gian làm quen của nhân viên</c:v>
                </c:pt>
              </c:strCache>
            </c:strRef>
          </c:tx>
          <c:spPr>
            <a:solidFill>
              <a:srgbClr val="f79646"/>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'Tổng chi phí'!$B$4:$D$4</c:f>
              <c:strCache>
                <c:ptCount val="3"/>
                <c:pt idx="0">
                  <c:v>Gói thấp (ví dụ)</c:v>
                </c:pt>
                <c:pt idx="1">
                  <c:v>Gói trung (ví dụ)</c:v>
                </c:pt>
                <c:pt idx="2">
                  <c:v>CRM khác (giả định)</c:v>
                </c:pt>
              </c:strCache>
            </c:strRef>
          </c:cat>
          <c:val>
            <c:numRef>
              <c:f>'Tổng chi phí'!$B$10:$D$10</c:f>
              <c:numCache>
                <c:formatCode>#,##0</c:formatCode>
                <c:ptCount val="3"/>
                <c:pt idx="0">
                  <c:v>9600000</c:v>
                </c:pt>
                <c:pt idx="1">
                  <c:v>9600000</c:v>
                </c:pt>
                <c:pt idx="2">
                  <c:v>9600000</c:v>
                </c:pt>
              </c:numCache>
            </c:numRef>
          </c:val>
        </c:ser>
        <c:gapWidth val="150"/>
        <c:overlap val="100"/>
        <c:axId val="34358808"/>
        <c:axId val="81840714"/>
      </c:barChart>
      <c:catAx>
        <c:axId val="34358808"/>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1840714"/>
        <c:crosses val="autoZero"/>
        <c:auto val="1"/>
        <c:lblAlgn val="ctr"/>
        <c:lblOffset val="100"/>
        <c:noMultiLvlLbl val="0"/>
      </c:catAx>
      <c:valAx>
        <c:axId val="81840714"/>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VND</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4358808"/>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Chi phí tích lũy theo tháng (VND)</a:t>
            </a:r>
          </a:p>
        </c:rich>
      </c:tx>
      <c:overlay val="0"/>
      <c:spPr>
        <a:noFill/>
        <a:ln w="0">
          <a:noFill/>
        </a:ln>
      </c:spPr>
    </c:title>
    <c:autoTitleDeleted val="0"/>
    <c:plotArea>
      <c:lineChart>
        <c:grouping val="standard"/>
        <c:varyColors val="0"/>
        <c:ser>
          <c:idx val="0"/>
          <c:order val="0"/>
          <c:tx>
            <c:strRef>
              <c:f>'Tổng chi phí'!$B$4</c:f>
              <c:strCache>
                <c:ptCount val="1"/>
                <c:pt idx="0">
                  <c:v>Gói thấp (ví dụ)</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'Theo tháng'!$B$4:$M$4</c:f>
              <c:strCache>
                <c:ptCount val="12"/>
                <c:pt idx="0">
                  <c:v>Tháng 1</c:v>
                </c:pt>
                <c:pt idx="1">
                  <c:v>Tháng 2</c:v>
                </c:pt>
                <c:pt idx="2">
                  <c:v>Tháng 3</c:v>
                </c:pt>
                <c:pt idx="3">
                  <c:v>Tháng 4</c:v>
                </c:pt>
                <c:pt idx="4">
                  <c:v>Tháng 5</c:v>
                </c:pt>
                <c:pt idx="5">
                  <c:v>Tháng 6</c:v>
                </c:pt>
                <c:pt idx="6">
                  <c:v>Tháng 7</c:v>
                </c:pt>
                <c:pt idx="7">
                  <c:v>Tháng 8</c:v>
                </c:pt>
                <c:pt idx="8">
                  <c:v>Tháng 9</c:v>
                </c:pt>
                <c:pt idx="9">
                  <c:v>Tháng 10</c:v>
                </c:pt>
                <c:pt idx="10">
                  <c:v>Tháng 11</c:v>
                </c:pt>
                <c:pt idx="11">
                  <c:v>Tháng 12</c:v>
                </c:pt>
              </c:strCache>
            </c:strRef>
          </c:cat>
          <c:val>
            <c:numRef>
              <c:f>'Theo tháng'!$B$13:$M$13</c:f>
              <c:numCache>
                <c:formatCode>#,##0</c:formatCode>
                <c:ptCount val="12"/>
                <c:pt idx="0">
                  <c:v>38802500</c:v>
                </c:pt>
                <c:pt idx="1">
                  <c:v>42405000</c:v>
                </c:pt>
                <c:pt idx="2">
                  <c:v>46007500</c:v>
                </c:pt>
                <c:pt idx="3">
                  <c:v>49610000</c:v>
                </c:pt>
                <c:pt idx="4">
                  <c:v>53212500</c:v>
                </c:pt>
                <c:pt idx="5">
                  <c:v>56815000</c:v>
                </c:pt>
                <c:pt idx="6">
                  <c:v>62601000</c:v>
                </c:pt>
                <c:pt idx="7">
                  <c:v>66627000</c:v>
                </c:pt>
                <c:pt idx="8">
                  <c:v>70653000</c:v>
                </c:pt>
                <c:pt idx="9">
                  <c:v>74679000</c:v>
                </c:pt>
                <c:pt idx="10">
                  <c:v>78705000</c:v>
                </c:pt>
                <c:pt idx="11">
                  <c:v>82731000</c:v>
                </c:pt>
              </c:numCache>
            </c:numRef>
          </c:val>
          <c:smooth val="1"/>
        </c:ser>
        <c:ser>
          <c:idx val="1"/>
          <c:order val="1"/>
          <c:tx>
            <c:strRef>
              <c:f>'Tổng chi phí'!$C$4</c:f>
              <c:strCache>
                <c:ptCount val="1"/>
                <c:pt idx="0">
                  <c:v>Gói trung (ví dụ)</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'Theo tháng'!$B$4:$M$4</c:f>
              <c:strCache>
                <c:ptCount val="12"/>
                <c:pt idx="0">
                  <c:v>Tháng 1</c:v>
                </c:pt>
                <c:pt idx="1">
                  <c:v>Tháng 2</c:v>
                </c:pt>
                <c:pt idx="2">
                  <c:v>Tháng 3</c:v>
                </c:pt>
                <c:pt idx="3">
                  <c:v>Tháng 4</c:v>
                </c:pt>
                <c:pt idx="4">
                  <c:v>Tháng 5</c:v>
                </c:pt>
                <c:pt idx="5">
                  <c:v>Tháng 6</c:v>
                </c:pt>
                <c:pt idx="6">
                  <c:v>Tháng 7</c:v>
                </c:pt>
                <c:pt idx="7">
                  <c:v>Tháng 8</c:v>
                </c:pt>
                <c:pt idx="8">
                  <c:v>Tháng 9</c:v>
                </c:pt>
                <c:pt idx="9">
                  <c:v>Tháng 10</c:v>
                </c:pt>
                <c:pt idx="10">
                  <c:v>Tháng 11</c:v>
                </c:pt>
                <c:pt idx="11">
                  <c:v>Tháng 12</c:v>
                </c:pt>
              </c:strCache>
            </c:strRef>
          </c:cat>
          <c:val>
            <c:numRef>
              <c:f>'Theo tháng'!$B$25:$M$25</c:f>
              <c:numCache>
                <c:formatCode>#,##0</c:formatCode>
                <c:ptCount val="12"/>
                <c:pt idx="0">
                  <c:v>40315000</c:v>
                </c:pt>
                <c:pt idx="1">
                  <c:v>45430000</c:v>
                </c:pt>
                <c:pt idx="2">
                  <c:v>50545000</c:v>
                </c:pt>
                <c:pt idx="3">
                  <c:v>55660000</c:v>
                </c:pt>
                <c:pt idx="4">
                  <c:v>60775000</c:v>
                </c:pt>
                <c:pt idx="5">
                  <c:v>65890000</c:v>
                </c:pt>
                <c:pt idx="6">
                  <c:v>73491000</c:v>
                </c:pt>
                <c:pt idx="7">
                  <c:v>79332000</c:v>
                </c:pt>
                <c:pt idx="8">
                  <c:v>85173000</c:v>
                </c:pt>
                <c:pt idx="9">
                  <c:v>91014000</c:v>
                </c:pt>
                <c:pt idx="10">
                  <c:v>96855000</c:v>
                </c:pt>
                <c:pt idx="11">
                  <c:v>102696000</c:v>
                </c:pt>
              </c:numCache>
            </c:numRef>
          </c:val>
          <c:smooth val="1"/>
        </c:ser>
        <c:ser>
          <c:idx val="2"/>
          <c:order val="2"/>
          <c:tx>
            <c:strRef>
              <c:f>'Tổng chi phí'!$D$4</c:f>
              <c:strCache>
                <c:ptCount val="1"/>
                <c:pt idx="0">
                  <c:v>CRM khác (giả định)</c:v>
                </c:pt>
              </c:strCache>
            </c:strRef>
          </c:tx>
          <c:spPr>
            <a:solidFill>
              <a:srgbClr val="98b855"/>
            </a:solidFill>
            <a:ln w="28440">
              <a:solidFill>
                <a:srgbClr val="98b855"/>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'Theo tháng'!$B$4:$M$4</c:f>
              <c:strCache>
                <c:ptCount val="12"/>
                <c:pt idx="0">
                  <c:v>Tháng 1</c:v>
                </c:pt>
                <c:pt idx="1">
                  <c:v>Tháng 2</c:v>
                </c:pt>
                <c:pt idx="2">
                  <c:v>Tháng 3</c:v>
                </c:pt>
                <c:pt idx="3">
                  <c:v>Tháng 4</c:v>
                </c:pt>
                <c:pt idx="4">
                  <c:v>Tháng 5</c:v>
                </c:pt>
                <c:pt idx="5">
                  <c:v>Tháng 6</c:v>
                </c:pt>
                <c:pt idx="6">
                  <c:v>Tháng 7</c:v>
                </c:pt>
                <c:pt idx="7">
                  <c:v>Tháng 8</c:v>
                </c:pt>
                <c:pt idx="8">
                  <c:v>Tháng 9</c:v>
                </c:pt>
                <c:pt idx="9">
                  <c:v>Tháng 10</c:v>
                </c:pt>
                <c:pt idx="10">
                  <c:v>Tháng 11</c:v>
                </c:pt>
                <c:pt idx="11">
                  <c:v>Tháng 12</c:v>
                </c:pt>
              </c:strCache>
            </c:strRef>
          </c:cat>
          <c:val>
            <c:numRef>
              <c:f>'Theo tháng'!$B$37:$M$37</c:f>
              <c:numCache>
                <c:formatCode>#,##0</c:formatCode>
                <c:ptCount val="12"/>
                <c:pt idx="0">
                  <c:v>52591000</c:v>
                </c:pt>
                <c:pt idx="1">
                  <c:v>58982000</c:v>
                </c:pt>
                <c:pt idx="2">
                  <c:v>65373000</c:v>
                </c:pt>
                <c:pt idx="3">
                  <c:v>71764000</c:v>
                </c:pt>
                <c:pt idx="4">
                  <c:v>78155000</c:v>
                </c:pt>
                <c:pt idx="5">
                  <c:v>84546000</c:v>
                </c:pt>
                <c:pt idx="6">
                  <c:v>93568200</c:v>
                </c:pt>
                <c:pt idx="7">
                  <c:v>100830400</c:v>
                </c:pt>
                <c:pt idx="8">
                  <c:v>108092600</c:v>
                </c:pt>
                <c:pt idx="9">
                  <c:v>115354800</c:v>
                </c:pt>
                <c:pt idx="10">
                  <c:v>122617000</c:v>
                </c:pt>
                <c:pt idx="11">
                  <c:v>129879200</c:v>
                </c:pt>
              </c:numCache>
            </c:numRef>
          </c:val>
          <c:smooth val="1"/>
        </c:ser>
        <c:hiLowLines>
          <c:spPr>
            <a:ln w="0">
              <a:noFill/>
            </a:ln>
          </c:spPr>
        </c:hiLowLines>
        <c:marker val="0"/>
        <c:axId val="96119392"/>
        <c:axId val="97615080"/>
      </c:lineChart>
      <c:catAx>
        <c:axId val="96119392"/>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Tháng</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7615080"/>
        <c:crosses val="autoZero"/>
        <c:auto val="1"/>
        <c:lblAlgn val="ctr"/>
        <c:lblOffset val="100"/>
        <c:noMultiLvlLbl val="0"/>
      </c:catAx>
      <c:valAx>
        <c:axId val="97615080"/>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VND</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6119392"/>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5</xdr:col>
      <xdr:colOff>0</xdr:colOff>
      <xdr:row>2</xdr:row>
      <xdr:rowOff>131040</xdr:rowOff>
    </xdr:from>
    <xdr:to>
      <xdr:col>15</xdr:col>
      <xdr:colOff>4680</xdr:colOff>
      <xdr:row>18</xdr:row>
      <xdr:rowOff>113040</xdr:rowOff>
    </xdr:to>
    <xdr:graphicFrame>
      <xdr:nvGraphicFramePr>
        <xdr:cNvPr id="0" name="Chart 1"/>
        <xdr:cNvGraphicFramePr/>
      </xdr:nvGraphicFramePr>
      <xdr:xfrm>
        <a:off x="8928720" y="571680"/>
        <a:ext cx="61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0</xdr:colOff>
      <xdr:row>22</xdr:row>
      <xdr:rowOff>131040</xdr:rowOff>
    </xdr:from>
    <xdr:to>
      <xdr:col>15</xdr:col>
      <xdr:colOff>4680</xdr:colOff>
      <xdr:row>39</xdr:row>
      <xdr:rowOff>132120</xdr:rowOff>
    </xdr:to>
    <xdr:graphicFrame>
      <xdr:nvGraphicFramePr>
        <xdr:cNvPr id="1" name="Chart 2"/>
        <xdr:cNvGraphicFramePr/>
      </xdr:nvGraphicFramePr>
      <xdr:xfrm>
        <a:off x="8928720" y="5019840"/>
        <a:ext cx="6119640" cy="323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10"/>
  </cols>
  <sheetData>
    <row r="1" customFormat="false" ht="19.7" hidden="false" customHeight="false" outlineLevel="0" collapsed="false">
      <c r="A1" s="1" t="s">
        <v>0</v>
      </c>
    </row>
    <row r="2" customFormat="false" ht="15" hidden="false" customHeight="false" outlineLevel="0" collapsed="false">
      <c r="A2" s="2" t="s">
        <v>1</v>
      </c>
    </row>
    <row r="4" customFormat="false" ht="55.5" hidden="false" customHeight="true" outlineLevel="0" collapsed="false">
      <c r="A4" s="3" t="s">
        <v>2</v>
      </c>
      <c r="B4" s="4" t="s">
        <v>3</v>
      </c>
    </row>
    <row r="5" customFormat="false" ht="78" hidden="false" customHeight="true" outlineLevel="0" collapsed="false">
      <c r="A5" s="3" t="s">
        <v>4</v>
      </c>
      <c r="B5" s="4" t="s">
        <v>5</v>
      </c>
    </row>
    <row r="6" customFormat="false" ht="55.5" hidden="false" customHeight="true" outlineLevel="0" collapsed="false">
      <c r="A6" s="3" t="s">
        <v>6</v>
      </c>
      <c r="B6" s="4" t="s">
        <v>7</v>
      </c>
    </row>
    <row r="7" customFormat="false" ht="78" hidden="false" customHeight="true" outlineLevel="0" collapsed="false">
      <c r="A7" s="3" t="s">
        <v>8</v>
      </c>
      <c r="B7" s="5" t="s">
        <v>9</v>
      </c>
    </row>
    <row r="8" customFormat="false" ht="55.5" hidden="false" customHeight="true" outlineLevel="0" collapsed="false">
      <c r="A8" s="3" t="s">
        <v>10</v>
      </c>
      <c r="B8" s="4" t="s">
        <v>11</v>
      </c>
    </row>
    <row r="9" customFormat="false" ht="78" hidden="false" customHeight="true" outlineLevel="0" collapsed="false">
      <c r="A9" s="3" t="s">
        <v>12</v>
      </c>
      <c r="B9" s="4" t="s">
        <v>13</v>
      </c>
    </row>
    <row r="10" customFormat="false" ht="78" hidden="false" customHeight="true" outlineLevel="0" collapsed="false">
      <c r="A10" s="3" t="s">
        <v>14</v>
      </c>
      <c r="B10" s="4" t="s">
        <v>15</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9" topLeftCell="B10" activePane="bottomRight" state="frozen"/>
      <selection pane="topLeft" activeCell="A1" activeCellId="0" sqref="A1"/>
      <selection pane="topRight" activeCell="B1" activeCellId="0" sqref="B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4" min="2" style="0" width="22"/>
    <col collapsed="false" customWidth="true" hidden="false" outlineLevel="0" max="5" min="5" style="0" width="70"/>
  </cols>
  <sheetData>
    <row r="1" customFormat="false" ht="19.7" hidden="false" customHeight="false" outlineLevel="0" collapsed="false">
      <c r="A1" s="1" t="s">
        <v>16</v>
      </c>
    </row>
    <row r="2" customFormat="false" ht="15" hidden="false" customHeight="false" outlineLevel="0" collapsed="false">
      <c r="A2" s="2" t="s">
        <v>17</v>
      </c>
    </row>
    <row r="4" customFormat="false" ht="15" hidden="false" customHeight="true" outlineLevel="0" collapsed="false">
      <c r="A4" s="6" t="s">
        <v>18</v>
      </c>
      <c r="B4" s="6" t="s">
        <v>19</v>
      </c>
      <c r="C4" s="6" t="s">
        <v>20</v>
      </c>
      <c r="D4" s="6"/>
      <c r="E4" s="6"/>
    </row>
    <row r="5" customFormat="false" ht="15" hidden="false" customHeight="true" outlineLevel="0" collapsed="false">
      <c r="A5" s="7" t="s">
        <v>21</v>
      </c>
      <c r="B5" s="8" t="n">
        <v>25000</v>
      </c>
      <c r="C5" s="9" t="s">
        <v>22</v>
      </c>
      <c r="D5" s="9"/>
      <c r="E5" s="9"/>
    </row>
    <row r="6" customFormat="false" ht="15" hidden="false" customHeight="true" outlineLevel="0" collapsed="false">
      <c r="A6" s="7" t="s">
        <v>23</v>
      </c>
      <c r="B6" s="10" t="n">
        <v>0.1</v>
      </c>
      <c r="C6" s="9" t="s">
        <v>24</v>
      </c>
      <c r="D6" s="9"/>
      <c r="E6" s="9"/>
    </row>
    <row r="7" customFormat="false" ht="15" hidden="false" customHeight="true" outlineLevel="0" collapsed="false">
      <c r="A7" s="7" t="s">
        <v>25</v>
      </c>
      <c r="B7" s="8" t="n">
        <v>100000</v>
      </c>
      <c r="C7" s="9" t="s">
        <v>26</v>
      </c>
      <c r="D7" s="9"/>
      <c r="E7" s="9"/>
    </row>
    <row r="9" customFormat="false" ht="15" hidden="false" customHeight="false" outlineLevel="0" collapsed="false">
      <c r="A9" s="6" t="s">
        <v>27</v>
      </c>
      <c r="B9" s="6" t="s">
        <v>28</v>
      </c>
      <c r="C9" s="6" t="s">
        <v>29</v>
      </c>
      <c r="D9" s="6" t="s">
        <v>30</v>
      </c>
      <c r="E9" s="6" t="s">
        <v>20</v>
      </c>
    </row>
    <row r="10" customFormat="false" ht="27.75" hidden="false" customHeight="true" outlineLevel="0" collapsed="false">
      <c r="A10" s="7" t="s">
        <v>31</v>
      </c>
      <c r="B10" s="11" t="s">
        <v>32</v>
      </c>
      <c r="C10" s="11" t="s">
        <v>33</v>
      </c>
      <c r="D10" s="11" t="s">
        <v>34</v>
      </c>
      <c r="E10" s="12" t="s">
        <v>35</v>
      </c>
    </row>
    <row r="11" customFormat="false" ht="15" hidden="false" customHeight="false" outlineLevel="0" collapsed="false">
      <c r="A11" s="7" t="s">
        <v>36</v>
      </c>
      <c r="B11" s="13" t="s">
        <v>37</v>
      </c>
      <c r="C11" s="13" t="s">
        <v>37</v>
      </c>
      <c r="D11" s="13" t="s">
        <v>38</v>
      </c>
      <c r="E11" s="12" t="s">
        <v>39</v>
      </c>
    </row>
    <row r="12" customFormat="false" ht="15" hidden="false" customHeight="false" outlineLevel="0" collapsed="false">
      <c r="A12" s="7" t="s">
        <v>40</v>
      </c>
      <c r="B12" s="14" t="n">
        <v>7</v>
      </c>
      <c r="C12" s="14" t="n">
        <v>12</v>
      </c>
      <c r="D12" s="14" t="n">
        <v>300000</v>
      </c>
      <c r="E12" s="12" t="s">
        <v>41</v>
      </c>
    </row>
    <row r="13" customFormat="false" ht="15" hidden="false" customHeight="false" outlineLevel="0" collapsed="false">
      <c r="A13" s="7" t="s">
        <v>42</v>
      </c>
      <c r="B13" s="14" t="n">
        <v>9</v>
      </c>
      <c r="C13" s="14" t="n">
        <v>15</v>
      </c>
      <c r="D13" s="14" t="n">
        <v>360000</v>
      </c>
      <c r="E13" s="12" t="s">
        <v>43</v>
      </c>
    </row>
    <row r="14" customFormat="false" ht="15" hidden="false" customHeight="false" outlineLevel="0" collapsed="false">
      <c r="A14" s="7" t="s">
        <v>44</v>
      </c>
      <c r="B14" s="13" t="s">
        <v>45</v>
      </c>
      <c r="C14" s="13" t="s">
        <v>45</v>
      </c>
      <c r="D14" s="13" t="s">
        <v>46</v>
      </c>
      <c r="E14" s="12" t="s">
        <v>47</v>
      </c>
    </row>
    <row r="15" customFormat="false" ht="15" hidden="false" customHeight="false" outlineLevel="0" collapsed="false">
      <c r="A15" s="7" t="s">
        <v>48</v>
      </c>
      <c r="B15" s="8" t="n">
        <v>10</v>
      </c>
      <c r="C15" s="8" t="n">
        <v>10</v>
      </c>
      <c r="D15" s="8" t="n">
        <v>10</v>
      </c>
      <c r="E15" s="12" t="s">
        <v>49</v>
      </c>
    </row>
    <row r="16" customFormat="false" ht="15" hidden="false" customHeight="false" outlineLevel="0" collapsed="false">
      <c r="A16" s="7" t="s">
        <v>50</v>
      </c>
      <c r="B16" s="8" t="n">
        <v>2</v>
      </c>
      <c r="C16" s="8" t="n">
        <v>2</v>
      </c>
      <c r="D16" s="8" t="n">
        <v>2</v>
      </c>
      <c r="E16" s="12" t="s">
        <v>51</v>
      </c>
    </row>
    <row r="17" customFormat="false" ht="15" hidden="false" customHeight="false" outlineLevel="0" collapsed="false">
      <c r="A17" s="7" t="s">
        <v>52</v>
      </c>
      <c r="B17" s="15" t="n">
        <v>7</v>
      </c>
      <c r="C17" s="15" t="n">
        <v>7</v>
      </c>
      <c r="D17" s="15" t="n">
        <v>7</v>
      </c>
      <c r="E17" s="12" t="s">
        <v>53</v>
      </c>
    </row>
    <row r="18" customFormat="false" ht="22.35" hidden="false" customHeight="false" outlineLevel="0" collapsed="false">
      <c r="A18" s="7" t="s">
        <v>54</v>
      </c>
      <c r="B18" s="8" t="n">
        <v>15000000</v>
      </c>
      <c r="C18" s="8" t="n">
        <v>15000000</v>
      </c>
      <c r="D18" s="8" t="n">
        <v>20000000</v>
      </c>
      <c r="E18" s="12" t="s">
        <v>55</v>
      </c>
    </row>
    <row r="19" customFormat="false" ht="15" hidden="false" customHeight="false" outlineLevel="0" collapsed="false">
      <c r="A19" s="7" t="s">
        <v>56</v>
      </c>
      <c r="B19" s="8" t="n">
        <v>5000000</v>
      </c>
      <c r="C19" s="8" t="n">
        <v>5000000</v>
      </c>
      <c r="D19" s="8" t="n">
        <v>8000000</v>
      </c>
      <c r="E19" s="12" t="s">
        <v>57</v>
      </c>
    </row>
    <row r="20" customFormat="false" ht="15" hidden="false" customHeight="false" outlineLevel="0" collapsed="false">
      <c r="A20" s="7" t="s">
        <v>58</v>
      </c>
      <c r="B20" s="8" t="n">
        <v>4000000</v>
      </c>
      <c r="C20" s="8" t="n">
        <v>4000000</v>
      </c>
      <c r="D20" s="8" t="n">
        <v>6000000</v>
      </c>
      <c r="E20" s="12" t="s">
        <v>59</v>
      </c>
    </row>
    <row r="21" customFormat="false" ht="15" hidden="false" customHeight="false" outlineLevel="0" collapsed="false">
      <c r="A21" s="7" t="s">
        <v>60</v>
      </c>
      <c r="B21" s="8" t="n">
        <v>500000</v>
      </c>
      <c r="C21" s="8" t="n">
        <v>500000</v>
      </c>
      <c r="D21" s="8" t="n">
        <v>1000000</v>
      </c>
      <c r="E21" s="12" t="s">
        <v>61</v>
      </c>
    </row>
    <row r="22" customFormat="false" ht="15" hidden="false" customHeight="false" outlineLevel="0" collapsed="false">
      <c r="A22" s="7" t="s">
        <v>62</v>
      </c>
      <c r="B22" s="16" t="n">
        <v>6</v>
      </c>
      <c r="C22" s="16" t="n">
        <v>6</v>
      </c>
      <c r="D22" s="16" t="n">
        <v>6</v>
      </c>
      <c r="E22" s="12" t="s">
        <v>63</v>
      </c>
    </row>
    <row r="23" customFormat="false" ht="15" hidden="false" customHeight="false" outlineLevel="0" collapsed="false">
      <c r="A23" s="7" t="s">
        <v>64</v>
      </c>
      <c r="B23" s="16" t="n">
        <v>8</v>
      </c>
      <c r="C23" s="16" t="n">
        <v>8</v>
      </c>
      <c r="D23" s="16" t="n">
        <v>8</v>
      </c>
      <c r="E23" s="12" t="s">
        <v>65</v>
      </c>
    </row>
    <row r="24" customFormat="false" ht="15" hidden="false" customHeight="false" outlineLevel="0" collapsed="false">
      <c r="A24" s="7" t="s">
        <v>66</v>
      </c>
      <c r="B24" s="8" t="n">
        <v>3000000</v>
      </c>
      <c r="C24" s="8" t="n">
        <v>3000000</v>
      </c>
      <c r="D24" s="8" t="n">
        <v>3000000</v>
      </c>
      <c r="E24" s="12" t="s">
        <v>67</v>
      </c>
    </row>
    <row r="25" customFormat="false" ht="15" hidden="false" customHeight="false" outlineLevel="0" collapsed="false">
      <c r="A25" s="7" t="s">
        <v>68</v>
      </c>
      <c r="B25" s="8" t="n">
        <v>0</v>
      </c>
      <c r="C25" s="8" t="n">
        <v>0</v>
      </c>
      <c r="D25" s="8" t="n">
        <v>0</v>
      </c>
      <c r="E25" s="12" t="s">
        <v>69</v>
      </c>
    </row>
    <row r="26" customFormat="false" ht="15" hidden="false" customHeight="false" outlineLevel="0" collapsed="false">
      <c r="A26" s="7" t="s">
        <v>70</v>
      </c>
      <c r="B26" s="10" t="n">
        <v>0.1</v>
      </c>
      <c r="C26" s="10" t="n">
        <v>0.1</v>
      </c>
      <c r="D26" s="10" t="n">
        <v>0.1</v>
      </c>
      <c r="E26" s="12" t="s">
        <v>71</v>
      </c>
    </row>
    <row r="28" customFormat="false" ht="15" hidden="false" customHeight="false" outlineLevel="0" collapsed="false">
      <c r="A28" s="17" t="s">
        <v>72</v>
      </c>
      <c r="B28" s="18" t="str">
        <f aca="false">IF(OR(B15&lt;=0,B12&lt;=0,B13&lt;=0,B17&lt;1,B17&gt;12),"Cần kiểm tra","Hợp lệ")</f>
        <v>Hợp lệ</v>
      </c>
      <c r="C28" s="18" t="str">
        <f aca="false">IF(OR(C15&lt;=0,C12&lt;=0,C13&lt;=0,C17&lt;1,C17&gt;12),"Cần kiểm tra","Hợp lệ")</f>
        <v>Hợp lệ</v>
      </c>
      <c r="D28" s="18" t="str">
        <f aca="false">IF(OR(D15&lt;=0,D12&lt;=0,D13&lt;=0,D17&lt;1,D17&gt;12),"Cần kiểm tra","Hợp lệ")</f>
        <v>Hợp lệ</v>
      </c>
      <c r="E28" s="12" t="s">
        <v>73</v>
      </c>
    </row>
  </sheetData>
  <mergeCells count="4">
    <mergeCell ref="C4:E4"/>
    <mergeCell ref="C5:E5"/>
    <mergeCell ref="C6:E6"/>
    <mergeCell ref="C7:E7"/>
  </mergeCells>
  <conditionalFormatting sqref="B28:D28">
    <cfRule type="expression" priority="2" aboveAverage="0" equalAverage="0" bottom="0" percent="0" rank="0" text="" dxfId="0">
      <formula>B28="Cần kiểm tra"</formula>
    </cfRule>
  </conditionalFormatting>
  <dataValidations count="6">
    <dataValidation allowBlank="false" error="Chọn USD hoặc VND." errorStyle="stop" errorTitle="Giá trị không hợp lệ" operator="between" showDropDown="false" showErrorMessage="true" showInputMessage="false" sqref="B11:D11" type="list">
      <formula1>"USD,VND"</formula1>
      <formula2>0</formula2>
    </dataValidation>
    <dataValidation allowBlank="false" error="Chọn Theo năm hoặc Theo tháng." errorStyle="stop" errorTitle="Giá trị không hợp lệ" operator="between" showDropDown="false" showErrorMessage="true" showInputMessage="false" sqref="B14:D14" type="list">
      <formula1>"Theo năm,Theo tháng"</formula1>
      <formula2>0</formula2>
    </dataValidation>
    <dataValidation allowBlank="false" error="Nhập số nguyên từ 1 đến 12." errorStyle="stop" errorTitle="Tháng không hợp lệ" operator="between" showDropDown="false" showErrorMessage="true" showInputMessage="false" sqref="B17:D17" type="whole">
      <formula1>1</formula1>
      <formula2>12</formula2>
    </dataValidation>
    <dataValidation allowBlank="false" error="Nhập số nguyên không âm." errorStyle="stop" errorTitle="Giá trị không hợp lệ" operator="greaterThanOrEqual" showDropDown="false" showErrorMessage="true" showInputMessage="false" sqref="B15:D16" type="whole">
      <formula1>0</formula1>
      <formula2>0</formula2>
    </dataValidation>
    <dataValidation allowBlank="false" error="Nhập số không âm." errorStyle="stop" errorTitle="Giá trị không hợp lệ" operator="greaterThanOrEqual" showDropDown="false" showErrorMessage="true" showInputMessage="false" sqref="B5 B7 B12:D13 B18:D25" type="decimal">
      <formula1>0</formula1>
      <formula2>0</formula2>
    </dataValidation>
    <dataValidation allowBlank="false" error="Nhập tỷ lệ từ 0% đến 100%." errorStyle="stop" errorTitle="Tỷ lệ không hợp lệ" operator="between" showDropDown="false" showErrorMessage="true" showInputMessage="false" sqref="B6 B26:D26" type="decimal">
      <formula1>0</formula1>
      <formula2>1</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4" min="2" style="0" width="24"/>
  </cols>
  <sheetData>
    <row r="1" customFormat="false" ht="19.7" hidden="false" customHeight="false" outlineLevel="0" collapsed="false">
      <c r="A1" s="1" t="s">
        <v>74</v>
      </c>
    </row>
    <row r="2" customFormat="false" ht="15" hidden="false" customHeight="false" outlineLevel="0" collapsed="false">
      <c r="A2" s="2" t="s">
        <v>75</v>
      </c>
    </row>
    <row r="4" customFormat="false" ht="31.5" hidden="false" customHeight="true" outlineLevel="0" collapsed="false">
      <c r="A4" s="6" t="s">
        <v>76</v>
      </c>
      <c r="B4" s="6" t="str">
        <f aca="false">'Nhập liệu'!$B$10</f>
        <v>Gói thấp (ví dụ)</v>
      </c>
      <c r="C4" s="6" t="str">
        <f aca="false">'Nhập liệu'!$C$10</f>
        <v>Gói trung (ví dụ)</v>
      </c>
      <c r="D4" s="6" t="str">
        <f aca="false">'Nhập liệu'!$D$10</f>
        <v>CRM khác (giả định)</v>
      </c>
    </row>
    <row r="5" customFormat="false" ht="15" hidden="false" customHeight="false" outlineLevel="0" collapsed="false">
      <c r="A5" s="7" t="s">
        <v>77</v>
      </c>
      <c r="B5" s="19" t="n">
        <f aca="false">'Theo tháng'!N6</f>
        <v>25410000</v>
      </c>
      <c r="C5" s="19" t="n">
        <f aca="false">'Theo tháng'!N18</f>
        <v>43560000</v>
      </c>
      <c r="D5" s="19" t="n">
        <f aca="false">'Theo tháng'!N30</f>
        <v>52272000</v>
      </c>
    </row>
    <row r="6" customFormat="false" ht="15" hidden="false" customHeight="false" outlineLevel="0" collapsed="false">
      <c r="A6" s="7" t="s">
        <v>78</v>
      </c>
      <c r="B6" s="19" t="n">
        <f aca="false">'Theo tháng'!N7</f>
        <v>6000000</v>
      </c>
      <c r="C6" s="19" t="n">
        <f aca="false">'Theo tháng'!N19</f>
        <v>6000000</v>
      </c>
      <c r="D6" s="19" t="n">
        <f aca="false">'Theo tháng'!N31</f>
        <v>12000000</v>
      </c>
    </row>
    <row r="7" customFormat="false" ht="15" hidden="false" customHeight="false" outlineLevel="0" collapsed="false">
      <c r="A7" s="7" t="s">
        <v>79</v>
      </c>
      <c r="B7" s="19" t="n">
        <f aca="false">'Theo tháng'!N8</f>
        <v>7200000</v>
      </c>
      <c r="C7" s="19" t="n">
        <f aca="false">'Theo tháng'!N20</f>
        <v>7200000</v>
      </c>
      <c r="D7" s="19" t="n">
        <f aca="false">'Theo tháng'!N32</f>
        <v>7200000</v>
      </c>
    </row>
    <row r="8" customFormat="false" ht="15" hidden="false" customHeight="false" outlineLevel="0" collapsed="false">
      <c r="A8" s="7" t="s">
        <v>80</v>
      </c>
      <c r="B8" s="19" t="n">
        <f aca="false">'Theo tháng'!N9</f>
        <v>3000000</v>
      </c>
      <c r="C8" s="19" t="n">
        <f aca="false">'Theo tháng'!N21</f>
        <v>3000000</v>
      </c>
      <c r="D8" s="19" t="n">
        <f aca="false">'Theo tháng'!N33</f>
        <v>3000000</v>
      </c>
    </row>
    <row r="9" customFormat="false" ht="15" hidden="false" customHeight="false" outlineLevel="0" collapsed="false">
      <c r="A9" s="7" t="s">
        <v>81</v>
      </c>
      <c r="B9" s="19" t="n">
        <f aca="false">'Theo tháng'!N10</f>
        <v>24000000</v>
      </c>
      <c r="C9" s="19" t="n">
        <f aca="false">'Theo tháng'!N22</f>
        <v>24000000</v>
      </c>
      <c r="D9" s="19" t="n">
        <f aca="false">'Theo tháng'!N34</f>
        <v>34000000</v>
      </c>
    </row>
    <row r="10" customFormat="false" ht="15" hidden="false" customHeight="false" outlineLevel="0" collapsed="false">
      <c r="A10" s="7" t="s">
        <v>82</v>
      </c>
      <c r="B10" s="19" t="n">
        <f aca="false">'Theo tháng'!N11</f>
        <v>9600000</v>
      </c>
      <c r="C10" s="19" t="n">
        <f aca="false">'Theo tháng'!N23</f>
        <v>9600000</v>
      </c>
      <c r="D10" s="19" t="n">
        <f aca="false">'Theo tháng'!N35</f>
        <v>9600000</v>
      </c>
    </row>
    <row r="11" customFormat="false" ht="15" hidden="false" customHeight="false" outlineLevel="0" collapsed="false">
      <c r="A11" s="17" t="s">
        <v>83</v>
      </c>
      <c r="B11" s="20" t="n">
        <f aca="false">SUM(B5:B10)</f>
        <v>75210000</v>
      </c>
      <c r="C11" s="20" t="n">
        <f aca="false">SUM(C5:C10)</f>
        <v>93360000</v>
      </c>
      <c r="D11" s="20" t="n">
        <f aca="false">SUM(D5:D10)</f>
        <v>118072000</v>
      </c>
    </row>
    <row r="12" customFormat="false" ht="15" hidden="false" customHeight="false" outlineLevel="0" collapsed="false">
      <c r="A12" s="7" t="s">
        <v>84</v>
      </c>
      <c r="B12" s="19" t="n">
        <f aca="false">B11*'Nhập liệu'!$B$26</f>
        <v>7521000</v>
      </c>
      <c r="C12" s="19" t="n">
        <f aca="false">C11*'Nhập liệu'!$C$26</f>
        <v>9336000</v>
      </c>
      <c r="D12" s="19" t="n">
        <f aca="false">D11*'Nhập liệu'!$D$26</f>
        <v>11807200</v>
      </c>
    </row>
    <row r="13" customFormat="false" ht="15" hidden="false" customHeight="false" outlineLevel="0" collapsed="false">
      <c r="A13" s="17" t="s">
        <v>85</v>
      </c>
      <c r="B13" s="20" t="n">
        <f aca="false">B11+B12</f>
        <v>82731000</v>
      </c>
      <c r="C13" s="20" t="n">
        <f aca="false">C11+C12</f>
        <v>102696000</v>
      </c>
      <c r="D13" s="20" t="n">
        <f aca="false">D11+D12</f>
        <v>129879200</v>
      </c>
    </row>
    <row r="14" customFormat="false" ht="15" hidden="false" customHeight="false" outlineLevel="0" collapsed="false">
      <c r="A14" s="7" t="s">
        <v>86</v>
      </c>
      <c r="B14" s="19" t="n">
        <f aca="false">B13/(12*'Theo tháng'!N5)</f>
        <v>626750</v>
      </c>
      <c r="C14" s="19" t="n">
        <f aca="false">C13/(12*'Theo tháng'!N17)</f>
        <v>778000</v>
      </c>
      <c r="D14" s="19" t="n">
        <f aca="false">D13/(12*'Theo tháng'!N29)</f>
        <v>983933.333333333</v>
      </c>
    </row>
    <row r="15" customFormat="false" ht="15" hidden="false" customHeight="false" outlineLevel="0" collapsed="false">
      <c r="A15" s="7" t="s">
        <v>87</v>
      </c>
      <c r="B15" s="19" t="n">
        <f aca="false">B13-B5</f>
        <v>57321000</v>
      </c>
      <c r="C15" s="19" t="n">
        <f aca="false">C13-C5</f>
        <v>59136000</v>
      </c>
      <c r="D15" s="19" t="n">
        <f aca="false">D13-D5</f>
        <v>77607200</v>
      </c>
    </row>
    <row r="16" customFormat="false" ht="15" hidden="false" customHeight="false" outlineLevel="0" collapsed="false">
      <c r="A16" s="7" t="s">
        <v>88</v>
      </c>
      <c r="B16" s="21" t="n">
        <f aca="false">IF(B13=0,0,B5/B13)</f>
        <v>0.307140007977663</v>
      </c>
      <c r="C16" s="21" t="n">
        <f aca="false">IF(C13=0,0,C5/C13)</f>
        <v>0.424164524421594</v>
      </c>
      <c r="D16" s="21" t="n">
        <f aca="false">IF(D13=0,0,D5/D13)</f>
        <v>0.402466291754184</v>
      </c>
    </row>
    <row r="17" customFormat="false" ht="15" hidden="false" customHeight="false" outlineLevel="0" collapsed="false">
      <c r="A17" s="7" t="s">
        <v>89</v>
      </c>
      <c r="B17" s="22" t="n">
        <f aca="false">IF(B5=0,0,B13/B5)</f>
        <v>3.25584415584416</v>
      </c>
      <c r="C17" s="22" t="n">
        <f aca="false">IF(C5=0,0,C13/C5)</f>
        <v>2.35757575757576</v>
      </c>
      <c r="D17" s="22" t="n">
        <f aca="false">IF(D5=0,0,D13/D5)</f>
        <v>2.48468013468013</v>
      </c>
    </row>
    <row r="19" customFormat="false" ht="33.75" hidden="false" customHeight="true" outlineLevel="0" collapsed="false">
      <c r="A19" s="23" t="str">
        <f aca="false">"Phương án có tổng 12 tháng thấp nhất: "&amp;INDEX(B4:D4,MATCH(MIN(B13:D13),B13:D13,0))&amp;". Lưu ý: rẻ nhất chưa chắc phù hợp nhất; hãy xem giới hạn của gói và sheet Checklist chi phí ẩn."</f>
        <v>Phương án có tổng 12 tháng thấp nhất: Gói thấp (ví dụ). Lưu ý: rẻ nhất chưa chắc phù hợp nhất; hãy xem giới hạn của gói và sheet Checklist chi phí ẩn.</v>
      </c>
      <c r="B19" s="23"/>
      <c r="C19" s="23"/>
      <c r="D19" s="23"/>
    </row>
    <row r="20" customFormat="false" ht="30" hidden="false" customHeight="true" outlineLevel="0" collapsed="false">
      <c r="A20" s="24" t="s">
        <v>90</v>
      </c>
      <c r="B20" s="24"/>
      <c r="C20" s="24"/>
      <c r="D20" s="24"/>
    </row>
  </sheetData>
  <mergeCells count="2">
    <mergeCell ref="A19:D19"/>
    <mergeCell ref="A20:D20"/>
  </mergeCells>
  <conditionalFormatting sqref="B13:D13">
    <cfRule type="expression" priority="2" aboveAverage="0" equalAverage="0" bottom="0" percent="0" rank="0" text="" dxfId="1">
      <formula>B13=MIN($B$13:$D$13)</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14" min="2" style="0" width="15"/>
  </cols>
  <sheetData>
    <row r="1" customFormat="false" ht="19.7" hidden="false" customHeight="false" outlineLevel="0" collapsed="false">
      <c r="A1" s="1" t="s">
        <v>91</v>
      </c>
    </row>
    <row r="2" customFormat="false" ht="15" hidden="false" customHeight="false" outlineLevel="0" collapsed="false">
      <c r="A2" s="2" t="s">
        <v>92</v>
      </c>
    </row>
    <row r="4" customFormat="false" ht="15" hidden="false" customHeight="false" outlineLevel="0" collapsed="false">
      <c r="A4" s="25" t="str">
        <f aca="false">'Nhập liệu'!$B$10</f>
        <v>Gói thấp (ví dụ)</v>
      </c>
      <c r="B4" s="6" t="s">
        <v>93</v>
      </c>
      <c r="C4" s="6" t="s">
        <v>94</v>
      </c>
      <c r="D4" s="6" t="s">
        <v>95</v>
      </c>
      <c r="E4" s="6" t="s">
        <v>96</v>
      </c>
      <c r="F4" s="6" t="s">
        <v>97</v>
      </c>
      <c r="G4" s="6" t="s">
        <v>98</v>
      </c>
      <c r="H4" s="6" t="s">
        <v>99</v>
      </c>
      <c r="I4" s="6" t="s">
        <v>100</v>
      </c>
      <c r="J4" s="6" t="s">
        <v>101</v>
      </c>
      <c r="K4" s="6" t="s">
        <v>102</v>
      </c>
      <c r="L4" s="6" t="s">
        <v>103</v>
      </c>
      <c r="M4" s="6" t="s">
        <v>104</v>
      </c>
      <c r="N4" s="6" t="s">
        <v>105</v>
      </c>
    </row>
    <row r="5" customFormat="false" ht="15" hidden="false" customHeight="false" outlineLevel="0" collapsed="false">
      <c r="A5" s="7" t="s">
        <v>106</v>
      </c>
      <c r="B5" s="19" t="n">
        <f aca="false">'Nhập liệu'!$B$15+IF(1&gt;='Nhập liệu'!$B$17,'Nhập liệu'!$B$16,0)</f>
        <v>10</v>
      </c>
      <c r="C5" s="19" t="n">
        <f aca="false">'Nhập liệu'!$B$15+IF(2&gt;='Nhập liệu'!$B$17,'Nhập liệu'!$B$16,0)</f>
        <v>10</v>
      </c>
      <c r="D5" s="19" t="n">
        <f aca="false">'Nhập liệu'!$B$15+IF(3&gt;='Nhập liệu'!$B$17,'Nhập liệu'!$B$16,0)</f>
        <v>10</v>
      </c>
      <c r="E5" s="19" t="n">
        <f aca="false">'Nhập liệu'!$B$15+IF(4&gt;='Nhập liệu'!$B$17,'Nhập liệu'!$B$16,0)</f>
        <v>10</v>
      </c>
      <c r="F5" s="19" t="n">
        <f aca="false">'Nhập liệu'!$B$15+IF(5&gt;='Nhập liệu'!$B$17,'Nhập liệu'!$B$16,0)</f>
        <v>10</v>
      </c>
      <c r="G5" s="19" t="n">
        <f aca="false">'Nhập liệu'!$B$15+IF(6&gt;='Nhập liệu'!$B$17,'Nhập liệu'!$B$16,0)</f>
        <v>10</v>
      </c>
      <c r="H5" s="19" t="n">
        <f aca="false">'Nhập liệu'!$B$15+IF(7&gt;='Nhập liệu'!$B$17,'Nhập liệu'!$B$16,0)</f>
        <v>12</v>
      </c>
      <c r="I5" s="19" t="n">
        <f aca="false">'Nhập liệu'!$B$15+IF(8&gt;='Nhập liệu'!$B$17,'Nhập liệu'!$B$16,0)</f>
        <v>12</v>
      </c>
      <c r="J5" s="19" t="n">
        <f aca="false">'Nhập liệu'!$B$15+IF(9&gt;='Nhập liệu'!$B$17,'Nhập liệu'!$B$16,0)</f>
        <v>12</v>
      </c>
      <c r="K5" s="19" t="n">
        <f aca="false">'Nhập liệu'!$B$15+IF(10&gt;='Nhập liệu'!$B$17,'Nhập liệu'!$B$16,0)</f>
        <v>12</v>
      </c>
      <c r="L5" s="19" t="n">
        <f aca="false">'Nhập liệu'!$B$15+IF(11&gt;='Nhập liệu'!$B$17,'Nhập liệu'!$B$16,0)</f>
        <v>12</v>
      </c>
      <c r="M5" s="19" t="n">
        <f aca="false">'Nhập liệu'!$B$15+IF(12&gt;='Nhập liệu'!$B$17,'Nhập liệu'!$B$16,0)</f>
        <v>12</v>
      </c>
      <c r="N5" s="26" t="n">
        <f aca="false">AVERAGE(B5:M5)</f>
        <v>11</v>
      </c>
    </row>
    <row r="6" customFormat="false" ht="15" hidden="false" customHeight="false" outlineLevel="0" collapsed="false">
      <c r="A6" s="7" t="s">
        <v>77</v>
      </c>
      <c r="B6" s="19" t="n">
        <f aca="false">B5*IF('Nhập liệu'!$B$14="Theo năm",'Nhập liệu'!$B$12,'Nhập liệu'!$B$13)*IF('Nhập liệu'!$B$11="USD",'Nhập liệu'!$B$5,1)*(1+'Nhập liệu'!$B$6)</f>
        <v>1925000</v>
      </c>
      <c r="C6" s="19" t="n">
        <f aca="false">C5*IF('Nhập liệu'!$B$14="Theo năm",'Nhập liệu'!$B$12,'Nhập liệu'!$B$13)*IF('Nhập liệu'!$B$11="USD",'Nhập liệu'!$B$5,1)*(1+'Nhập liệu'!$B$6)</f>
        <v>1925000</v>
      </c>
      <c r="D6" s="19" t="n">
        <f aca="false">D5*IF('Nhập liệu'!$B$14="Theo năm",'Nhập liệu'!$B$12,'Nhập liệu'!$B$13)*IF('Nhập liệu'!$B$11="USD",'Nhập liệu'!$B$5,1)*(1+'Nhập liệu'!$B$6)</f>
        <v>1925000</v>
      </c>
      <c r="E6" s="19" t="n">
        <f aca="false">E5*IF('Nhập liệu'!$B$14="Theo năm",'Nhập liệu'!$B$12,'Nhập liệu'!$B$13)*IF('Nhập liệu'!$B$11="USD",'Nhập liệu'!$B$5,1)*(1+'Nhập liệu'!$B$6)</f>
        <v>1925000</v>
      </c>
      <c r="F6" s="19" t="n">
        <f aca="false">F5*IF('Nhập liệu'!$B$14="Theo năm",'Nhập liệu'!$B$12,'Nhập liệu'!$B$13)*IF('Nhập liệu'!$B$11="USD",'Nhập liệu'!$B$5,1)*(1+'Nhập liệu'!$B$6)</f>
        <v>1925000</v>
      </c>
      <c r="G6" s="19" t="n">
        <f aca="false">G5*IF('Nhập liệu'!$B$14="Theo năm",'Nhập liệu'!$B$12,'Nhập liệu'!$B$13)*IF('Nhập liệu'!$B$11="USD",'Nhập liệu'!$B$5,1)*(1+'Nhập liệu'!$B$6)</f>
        <v>1925000</v>
      </c>
      <c r="H6" s="19" t="n">
        <f aca="false">H5*IF('Nhập liệu'!$B$14="Theo năm",'Nhập liệu'!$B$12,'Nhập liệu'!$B$13)*IF('Nhập liệu'!$B$11="USD",'Nhập liệu'!$B$5,1)*(1+'Nhập liệu'!$B$6)</f>
        <v>2310000</v>
      </c>
      <c r="I6" s="19" t="n">
        <f aca="false">I5*IF('Nhập liệu'!$B$14="Theo năm",'Nhập liệu'!$B$12,'Nhập liệu'!$B$13)*IF('Nhập liệu'!$B$11="USD",'Nhập liệu'!$B$5,1)*(1+'Nhập liệu'!$B$6)</f>
        <v>2310000</v>
      </c>
      <c r="J6" s="19" t="n">
        <f aca="false">J5*IF('Nhập liệu'!$B$14="Theo năm",'Nhập liệu'!$B$12,'Nhập liệu'!$B$13)*IF('Nhập liệu'!$B$11="USD",'Nhập liệu'!$B$5,1)*(1+'Nhập liệu'!$B$6)</f>
        <v>2310000</v>
      </c>
      <c r="K6" s="19" t="n">
        <f aca="false">K5*IF('Nhập liệu'!$B$14="Theo năm",'Nhập liệu'!$B$12,'Nhập liệu'!$B$13)*IF('Nhập liệu'!$B$11="USD",'Nhập liệu'!$B$5,1)*(1+'Nhập liệu'!$B$6)</f>
        <v>2310000</v>
      </c>
      <c r="L6" s="19" t="n">
        <f aca="false">L5*IF('Nhập liệu'!$B$14="Theo năm",'Nhập liệu'!$B$12,'Nhập liệu'!$B$13)*IF('Nhập liệu'!$B$11="USD",'Nhập liệu'!$B$5,1)*(1+'Nhập liệu'!$B$6)</f>
        <v>2310000</v>
      </c>
      <c r="M6" s="19" t="n">
        <f aca="false">M5*IF('Nhập liệu'!$B$14="Theo năm",'Nhập liệu'!$B$12,'Nhập liệu'!$B$13)*IF('Nhập liệu'!$B$11="USD",'Nhập liệu'!$B$5,1)*(1+'Nhập liệu'!$B$6)</f>
        <v>2310000</v>
      </c>
      <c r="N6" s="27" t="n">
        <f aca="false">SUM(B6:M6)</f>
        <v>25410000</v>
      </c>
    </row>
    <row r="7" customFormat="false" ht="15" hidden="false" customHeight="false" outlineLevel="0" collapsed="false">
      <c r="A7" s="7" t="s">
        <v>78</v>
      </c>
      <c r="B7" s="19" t="n">
        <f aca="false">'Nhập liệu'!$B$21</f>
        <v>500000</v>
      </c>
      <c r="C7" s="19" t="n">
        <f aca="false">'Nhập liệu'!$B$21</f>
        <v>500000</v>
      </c>
      <c r="D7" s="19" t="n">
        <f aca="false">'Nhập liệu'!$B$21</f>
        <v>500000</v>
      </c>
      <c r="E7" s="19" t="n">
        <f aca="false">'Nhập liệu'!$B$21</f>
        <v>500000</v>
      </c>
      <c r="F7" s="19" t="n">
        <f aca="false">'Nhập liệu'!$B$21</f>
        <v>500000</v>
      </c>
      <c r="G7" s="19" t="n">
        <f aca="false">'Nhập liệu'!$B$21</f>
        <v>500000</v>
      </c>
      <c r="H7" s="19" t="n">
        <f aca="false">'Nhập liệu'!$B$21</f>
        <v>500000</v>
      </c>
      <c r="I7" s="19" t="n">
        <f aca="false">'Nhập liệu'!$B$21</f>
        <v>500000</v>
      </c>
      <c r="J7" s="19" t="n">
        <f aca="false">'Nhập liệu'!$B$21</f>
        <v>500000</v>
      </c>
      <c r="K7" s="19" t="n">
        <f aca="false">'Nhập liệu'!$B$21</f>
        <v>500000</v>
      </c>
      <c r="L7" s="19" t="n">
        <f aca="false">'Nhập liệu'!$B$21</f>
        <v>500000</v>
      </c>
      <c r="M7" s="19" t="n">
        <f aca="false">'Nhập liệu'!$B$21</f>
        <v>500000</v>
      </c>
      <c r="N7" s="27" t="n">
        <f aca="false">SUM(B7:M7)</f>
        <v>6000000</v>
      </c>
    </row>
    <row r="8" customFormat="false" ht="15" hidden="false" customHeight="false" outlineLevel="0" collapsed="false">
      <c r="A8" s="7" t="s">
        <v>79</v>
      </c>
      <c r="B8" s="19" t="n">
        <f aca="false">'Nhập liệu'!$B$22*'Nhập liệu'!$B$7</f>
        <v>600000</v>
      </c>
      <c r="C8" s="19" t="n">
        <f aca="false">'Nhập liệu'!$B$22*'Nhập liệu'!$B$7</f>
        <v>600000</v>
      </c>
      <c r="D8" s="19" t="n">
        <f aca="false">'Nhập liệu'!$B$22*'Nhập liệu'!$B$7</f>
        <v>600000</v>
      </c>
      <c r="E8" s="19" t="n">
        <f aca="false">'Nhập liệu'!$B$22*'Nhập liệu'!$B$7</f>
        <v>600000</v>
      </c>
      <c r="F8" s="19" t="n">
        <f aca="false">'Nhập liệu'!$B$22*'Nhập liệu'!$B$7</f>
        <v>600000</v>
      </c>
      <c r="G8" s="19" t="n">
        <f aca="false">'Nhập liệu'!$B$22*'Nhập liệu'!$B$7</f>
        <v>600000</v>
      </c>
      <c r="H8" s="19" t="n">
        <f aca="false">'Nhập liệu'!$B$22*'Nhập liệu'!$B$7</f>
        <v>600000</v>
      </c>
      <c r="I8" s="19" t="n">
        <f aca="false">'Nhập liệu'!$B$22*'Nhập liệu'!$B$7</f>
        <v>600000</v>
      </c>
      <c r="J8" s="19" t="n">
        <f aca="false">'Nhập liệu'!$B$22*'Nhập liệu'!$B$7</f>
        <v>600000</v>
      </c>
      <c r="K8" s="19" t="n">
        <f aca="false">'Nhập liệu'!$B$22*'Nhập liệu'!$B$7</f>
        <v>600000</v>
      </c>
      <c r="L8" s="19" t="n">
        <f aca="false">'Nhập liệu'!$B$22*'Nhập liệu'!$B$7</f>
        <v>600000</v>
      </c>
      <c r="M8" s="19" t="n">
        <f aca="false">'Nhập liệu'!$B$22*'Nhập liệu'!$B$7</f>
        <v>600000</v>
      </c>
      <c r="N8" s="27" t="n">
        <f aca="false">SUM(B8:M8)</f>
        <v>7200000</v>
      </c>
    </row>
    <row r="9" customFormat="false" ht="15" hidden="false" customHeight="false" outlineLevel="0" collapsed="false">
      <c r="A9" s="7" t="s">
        <v>80</v>
      </c>
      <c r="B9" s="19" t="n">
        <f aca="false">('Nhập liệu'!$B$24+'Nhập liệu'!$B$25)/12</f>
        <v>250000</v>
      </c>
      <c r="C9" s="19" t="n">
        <f aca="false">('Nhập liệu'!$B$24+'Nhập liệu'!$B$25)/12</f>
        <v>250000</v>
      </c>
      <c r="D9" s="19" t="n">
        <f aca="false">('Nhập liệu'!$B$24+'Nhập liệu'!$B$25)/12</f>
        <v>250000</v>
      </c>
      <c r="E9" s="19" t="n">
        <f aca="false">('Nhập liệu'!$B$24+'Nhập liệu'!$B$25)/12</f>
        <v>250000</v>
      </c>
      <c r="F9" s="19" t="n">
        <f aca="false">('Nhập liệu'!$B$24+'Nhập liệu'!$B$25)/12</f>
        <v>250000</v>
      </c>
      <c r="G9" s="19" t="n">
        <f aca="false">('Nhập liệu'!$B$24+'Nhập liệu'!$B$25)/12</f>
        <v>250000</v>
      </c>
      <c r="H9" s="19" t="n">
        <f aca="false">('Nhập liệu'!$B$24+'Nhập liệu'!$B$25)/12</f>
        <v>250000</v>
      </c>
      <c r="I9" s="19" t="n">
        <f aca="false">('Nhập liệu'!$B$24+'Nhập liệu'!$B$25)/12</f>
        <v>250000</v>
      </c>
      <c r="J9" s="19" t="n">
        <f aca="false">('Nhập liệu'!$B$24+'Nhập liệu'!$B$25)/12</f>
        <v>250000</v>
      </c>
      <c r="K9" s="19" t="n">
        <f aca="false">('Nhập liệu'!$B$24+'Nhập liệu'!$B$25)/12</f>
        <v>250000</v>
      </c>
      <c r="L9" s="19" t="n">
        <f aca="false">('Nhập liệu'!$B$24+'Nhập liệu'!$B$25)/12</f>
        <v>250000</v>
      </c>
      <c r="M9" s="19" t="n">
        <f aca="false">('Nhập liệu'!$B$24+'Nhập liệu'!$B$25)/12</f>
        <v>250000</v>
      </c>
      <c r="N9" s="27" t="n">
        <f aca="false">SUM(B9:M9)</f>
        <v>3000000</v>
      </c>
    </row>
    <row r="10" customFormat="false" ht="15" hidden="false" customHeight="false" outlineLevel="0" collapsed="false">
      <c r="A10" s="7" t="s">
        <v>107</v>
      </c>
      <c r="B10" s="19" t="n">
        <f aca="false">IF(1=1,'Nhập liệu'!$B$18+'Nhập liệu'!$B$19+'Nhập liệu'!$B$20,0)</f>
        <v>24000000</v>
      </c>
      <c r="C10" s="19" t="n">
        <f aca="false">IF(2=1,'Nhập liệu'!$B$18+'Nhập liệu'!$B$19+'Nhập liệu'!$B$20,0)</f>
        <v>0</v>
      </c>
      <c r="D10" s="19" t="n">
        <f aca="false">IF(3=1,'Nhập liệu'!$B$18+'Nhập liệu'!$B$19+'Nhập liệu'!$B$20,0)</f>
        <v>0</v>
      </c>
      <c r="E10" s="19" t="n">
        <f aca="false">IF(4=1,'Nhập liệu'!$B$18+'Nhập liệu'!$B$19+'Nhập liệu'!$B$20,0)</f>
        <v>0</v>
      </c>
      <c r="F10" s="19" t="n">
        <f aca="false">IF(5=1,'Nhập liệu'!$B$18+'Nhập liệu'!$B$19+'Nhập liệu'!$B$20,0)</f>
        <v>0</v>
      </c>
      <c r="G10" s="19" t="n">
        <f aca="false">IF(6=1,'Nhập liệu'!$B$18+'Nhập liệu'!$B$19+'Nhập liệu'!$B$20,0)</f>
        <v>0</v>
      </c>
      <c r="H10" s="19" t="n">
        <f aca="false">IF(7=1,'Nhập liệu'!$B$18+'Nhập liệu'!$B$19+'Nhập liệu'!$B$20,0)</f>
        <v>0</v>
      </c>
      <c r="I10" s="19" t="n">
        <f aca="false">IF(8=1,'Nhập liệu'!$B$18+'Nhập liệu'!$B$19+'Nhập liệu'!$B$20,0)</f>
        <v>0</v>
      </c>
      <c r="J10" s="19" t="n">
        <f aca="false">IF(9=1,'Nhập liệu'!$B$18+'Nhập liệu'!$B$19+'Nhập liệu'!$B$20,0)</f>
        <v>0</v>
      </c>
      <c r="K10" s="19" t="n">
        <f aca="false">IF(10=1,'Nhập liệu'!$B$18+'Nhập liệu'!$B$19+'Nhập liệu'!$B$20,0)</f>
        <v>0</v>
      </c>
      <c r="L10" s="19" t="n">
        <f aca="false">IF(11=1,'Nhập liệu'!$B$18+'Nhập liệu'!$B$19+'Nhập liệu'!$B$20,0)</f>
        <v>0</v>
      </c>
      <c r="M10" s="19" t="n">
        <f aca="false">IF(12=1,'Nhập liệu'!$B$18+'Nhập liệu'!$B$19+'Nhập liệu'!$B$20,0)</f>
        <v>0</v>
      </c>
      <c r="N10" s="27" t="n">
        <f aca="false">SUM(B10:M10)</f>
        <v>24000000</v>
      </c>
    </row>
    <row r="11" customFormat="false" ht="15" hidden="false" customHeight="false" outlineLevel="0" collapsed="false">
      <c r="A11" s="7" t="s">
        <v>82</v>
      </c>
      <c r="B11" s="19" t="n">
        <f aca="false">IF(1=1,'Nhập liệu'!$B$23*'Nhập liệu'!$B$15*'Nhập liệu'!$B$7,0)+IF(1='Nhập liệu'!$B$17,'Nhập liệu'!$B$23*'Nhập liệu'!$B$16*'Nhập liệu'!$B$7,0)</f>
        <v>8000000</v>
      </c>
      <c r="C11" s="19" t="n">
        <f aca="false">IF(2=1,'Nhập liệu'!$B$23*'Nhập liệu'!$B$15*'Nhập liệu'!$B$7,0)+IF(2='Nhập liệu'!$B$17,'Nhập liệu'!$B$23*'Nhập liệu'!$B$16*'Nhập liệu'!$B$7,0)</f>
        <v>0</v>
      </c>
      <c r="D11" s="19" t="n">
        <f aca="false">IF(3=1,'Nhập liệu'!$B$23*'Nhập liệu'!$B$15*'Nhập liệu'!$B$7,0)+IF(3='Nhập liệu'!$B$17,'Nhập liệu'!$B$23*'Nhập liệu'!$B$16*'Nhập liệu'!$B$7,0)</f>
        <v>0</v>
      </c>
      <c r="E11" s="19" t="n">
        <f aca="false">IF(4=1,'Nhập liệu'!$B$23*'Nhập liệu'!$B$15*'Nhập liệu'!$B$7,0)+IF(4='Nhập liệu'!$B$17,'Nhập liệu'!$B$23*'Nhập liệu'!$B$16*'Nhập liệu'!$B$7,0)</f>
        <v>0</v>
      </c>
      <c r="F11" s="19" t="n">
        <f aca="false">IF(5=1,'Nhập liệu'!$B$23*'Nhập liệu'!$B$15*'Nhập liệu'!$B$7,0)+IF(5='Nhập liệu'!$B$17,'Nhập liệu'!$B$23*'Nhập liệu'!$B$16*'Nhập liệu'!$B$7,0)</f>
        <v>0</v>
      </c>
      <c r="G11" s="19" t="n">
        <f aca="false">IF(6=1,'Nhập liệu'!$B$23*'Nhập liệu'!$B$15*'Nhập liệu'!$B$7,0)+IF(6='Nhập liệu'!$B$17,'Nhập liệu'!$B$23*'Nhập liệu'!$B$16*'Nhập liệu'!$B$7,0)</f>
        <v>0</v>
      </c>
      <c r="H11" s="19" t="n">
        <f aca="false">IF(7=1,'Nhập liệu'!$B$23*'Nhập liệu'!$B$15*'Nhập liệu'!$B$7,0)+IF(7='Nhập liệu'!$B$17,'Nhập liệu'!$B$23*'Nhập liệu'!$B$16*'Nhập liệu'!$B$7,0)</f>
        <v>1600000</v>
      </c>
      <c r="I11" s="19" t="n">
        <f aca="false">IF(8=1,'Nhập liệu'!$B$23*'Nhập liệu'!$B$15*'Nhập liệu'!$B$7,0)+IF(8='Nhập liệu'!$B$17,'Nhập liệu'!$B$23*'Nhập liệu'!$B$16*'Nhập liệu'!$B$7,0)</f>
        <v>0</v>
      </c>
      <c r="J11" s="19" t="n">
        <f aca="false">IF(9=1,'Nhập liệu'!$B$23*'Nhập liệu'!$B$15*'Nhập liệu'!$B$7,0)+IF(9='Nhập liệu'!$B$17,'Nhập liệu'!$B$23*'Nhập liệu'!$B$16*'Nhập liệu'!$B$7,0)</f>
        <v>0</v>
      </c>
      <c r="K11" s="19" t="n">
        <f aca="false">IF(10=1,'Nhập liệu'!$B$23*'Nhập liệu'!$B$15*'Nhập liệu'!$B$7,0)+IF(10='Nhập liệu'!$B$17,'Nhập liệu'!$B$23*'Nhập liệu'!$B$16*'Nhập liệu'!$B$7,0)</f>
        <v>0</v>
      </c>
      <c r="L11" s="19" t="n">
        <f aca="false">IF(11=1,'Nhập liệu'!$B$23*'Nhập liệu'!$B$15*'Nhập liệu'!$B$7,0)+IF(11='Nhập liệu'!$B$17,'Nhập liệu'!$B$23*'Nhập liệu'!$B$16*'Nhập liệu'!$B$7,0)</f>
        <v>0</v>
      </c>
      <c r="M11" s="19" t="n">
        <f aca="false">IF(12=1,'Nhập liệu'!$B$23*'Nhập liệu'!$B$15*'Nhập liệu'!$B$7,0)+IF(12='Nhập liệu'!$B$17,'Nhập liệu'!$B$23*'Nhập liệu'!$B$16*'Nhập liệu'!$B$7,0)</f>
        <v>0</v>
      </c>
      <c r="N11" s="27" t="n">
        <f aca="false">SUM(B11:M11)</f>
        <v>9600000</v>
      </c>
    </row>
    <row r="12" customFormat="false" ht="15" hidden="false" customHeight="false" outlineLevel="0" collapsed="false">
      <c r="A12" s="28" t="s">
        <v>108</v>
      </c>
      <c r="B12" s="20" t="n">
        <f aca="false">B6+B7+B8+B9+B10+B11</f>
        <v>35275000</v>
      </c>
      <c r="C12" s="20" t="n">
        <f aca="false">C6+C7+C8+C9+C10+C11</f>
        <v>3275000</v>
      </c>
      <c r="D12" s="20" t="n">
        <f aca="false">D6+D7+D8+D9+D10+D11</f>
        <v>3275000</v>
      </c>
      <c r="E12" s="20" t="n">
        <f aca="false">E6+E7+E8+E9+E10+E11</f>
        <v>3275000</v>
      </c>
      <c r="F12" s="20" t="n">
        <f aca="false">F6+F7+F8+F9+F10+F11</f>
        <v>3275000</v>
      </c>
      <c r="G12" s="20" t="n">
        <f aca="false">G6+G7+G8+G9+G10+G11</f>
        <v>3275000</v>
      </c>
      <c r="H12" s="20" t="n">
        <f aca="false">H6+H7+H8+H9+H10+H11</f>
        <v>5260000</v>
      </c>
      <c r="I12" s="20" t="n">
        <f aca="false">I6+I7+I8+I9+I10+I11</f>
        <v>3660000</v>
      </c>
      <c r="J12" s="20" t="n">
        <f aca="false">J6+J7+J8+J9+J10+J11</f>
        <v>3660000</v>
      </c>
      <c r="K12" s="20" t="n">
        <f aca="false">K6+K7+K8+K9+K10+K11</f>
        <v>3660000</v>
      </c>
      <c r="L12" s="20" t="n">
        <f aca="false">L6+L7+L8+L9+L10+L11</f>
        <v>3660000</v>
      </c>
      <c r="M12" s="20" t="n">
        <f aca="false">M6+M7+M8+M9+M10+M11</f>
        <v>3660000</v>
      </c>
      <c r="N12" s="27" t="n">
        <f aca="false">SUM(B12:M12)</f>
        <v>75210000</v>
      </c>
    </row>
    <row r="13" customFormat="false" ht="15" hidden="false" customHeight="false" outlineLevel="0" collapsed="false">
      <c r="A13" s="28" t="s">
        <v>109</v>
      </c>
      <c r="B13" s="27" t="n">
        <f aca="false">B12*(1+'Nhập liệu'!$B$26)</f>
        <v>38802500</v>
      </c>
      <c r="C13" s="27" t="n">
        <f aca="false">B13+C12*(1+'Nhập liệu'!$B$26)</f>
        <v>42405000</v>
      </c>
      <c r="D13" s="27" t="n">
        <f aca="false">C13+D12*(1+'Nhập liệu'!$B$26)</f>
        <v>46007500</v>
      </c>
      <c r="E13" s="27" t="n">
        <f aca="false">D13+E12*(1+'Nhập liệu'!$B$26)</f>
        <v>49610000</v>
      </c>
      <c r="F13" s="27" t="n">
        <f aca="false">E13+F12*(1+'Nhập liệu'!$B$26)</f>
        <v>53212500</v>
      </c>
      <c r="G13" s="27" t="n">
        <f aca="false">F13+G12*(1+'Nhập liệu'!$B$26)</f>
        <v>56815000</v>
      </c>
      <c r="H13" s="27" t="n">
        <f aca="false">G13+H12*(1+'Nhập liệu'!$B$26)</f>
        <v>62601000</v>
      </c>
      <c r="I13" s="27" t="n">
        <f aca="false">H13+I12*(1+'Nhập liệu'!$B$26)</f>
        <v>66627000</v>
      </c>
      <c r="J13" s="27" t="n">
        <f aca="false">I13+J12*(1+'Nhập liệu'!$B$26)</f>
        <v>70653000</v>
      </c>
      <c r="K13" s="27" t="n">
        <f aca="false">J13+K12*(1+'Nhập liệu'!$B$26)</f>
        <v>74679000</v>
      </c>
      <c r="L13" s="27" t="n">
        <f aca="false">K13+L12*(1+'Nhập liệu'!$B$26)</f>
        <v>78705000</v>
      </c>
      <c r="M13" s="27" t="n">
        <f aca="false">L13+M12*(1+'Nhập liệu'!$B$26)</f>
        <v>82731000</v>
      </c>
      <c r="N13" s="27" t="n">
        <f aca="false">M13</f>
        <v>82731000</v>
      </c>
    </row>
    <row r="16" customFormat="false" ht="15" hidden="false" customHeight="false" outlineLevel="0" collapsed="false">
      <c r="A16" s="25" t="str">
        <f aca="false">'Nhập liệu'!$C$10</f>
        <v>Gói trung (ví dụ)</v>
      </c>
      <c r="B16" s="6" t="s">
        <v>93</v>
      </c>
      <c r="C16" s="6" t="s">
        <v>94</v>
      </c>
      <c r="D16" s="6" t="s">
        <v>95</v>
      </c>
      <c r="E16" s="6" t="s">
        <v>96</v>
      </c>
      <c r="F16" s="6" t="s">
        <v>97</v>
      </c>
      <c r="G16" s="6" t="s">
        <v>98</v>
      </c>
      <c r="H16" s="6" t="s">
        <v>99</v>
      </c>
      <c r="I16" s="6" t="s">
        <v>100</v>
      </c>
      <c r="J16" s="6" t="s">
        <v>101</v>
      </c>
      <c r="K16" s="6" t="s">
        <v>102</v>
      </c>
      <c r="L16" s="6" t="s">
        <v>103</v>
      </c>
      <c r="M16" s="6" t="s">
        <v>104</v>
      </c>
      <c r="N16" s="6" t="s">
        <v>105</v>
      </c>
    </row>
    <row r="17" customFormat="false" ht="15" hidden="false" customHeight="false" outlineLevel="0" collapsed="false">
      <c r="A17" s="7" t="s">
        <v>106</v>
      </c>
      <c r="B17" s="19" t="n">
        <f aca="false">'Nhập liệu'!$C$15+IF(1&gt;='Nhập liệu'!$C$17,'Nhập liệu'!$C$16,0)</f>
        <v>10</v>
      </c>
      <c r="C17" s="19" t="n">
        <f aca="false">'Nhập liệu'!$C$15+IF(2&gt;='Nhập liệu'!$C$17,'Nhập liệu'!$C$16,0)</f>
        <v>10</v>
      </c>
      <c r="D17" s="19" t="n">
        <f aca="false">'Nhập liệu'!$C$15+IF(3&gt;='Nhập liệu'!$C$17,'Nhập liệu'!$C$16,0)</f>
        <v>10</v>
      </c>
      <c r="E17" s="19" t="n">
        <f aca="false">'Nhập liệu'!$C$15+IF(4&gt;='Nhập liệu'!$C$17,'Nhập liệu'!$C$16,0)</f>
        <v>10</v>
      </c>
      <c r="F17" s="19" t="n">
        <f aca="false">'Nhập liệu'!$C$15+IF(5&gt;='Nhập liệu'!$C$17,'Nhập liệu'!$C$16,0)</f>
        <v>10</v>
      </c>
      <c r="G17" s="19" t="n">
        <f aca="false">'Nhập liệu'!$C$15+IF(6&gt;='Nhập liệu'!$C$17,'Nhập liệu'!$C$16,0)</f>
        <v>10</v>
      </c>
      <c r="H17" s="19" t="n">
        <f aca="false">'Nhập liệu'!$C$15+IF(7&gt;='Nhập liệu'!$C$17,'Nhập liệu'!$C$16,0)</f>
        <v>12</v>
      </c>
      <c r="I17" s="19" t="n">
        <f aca="false">'Nhập liệu'!$C$15+IF(8&gt;='Nhập liệu'!$C$17,'Nhập liệu'!$C$16,0)</f>
        <v>12</v>
      </c>
      <c r="J17" s="19" t="n">
        <f aca="false">'Nhập liệu'!$C$15+IF(9&gt;='Nhập liệu'!$C$17,'Nhập liệu'!$C$16,0)</f>
        <v>12</v>
      </c>
      <c r="K17" s="19" t="n">
        <f aca="false">'Nhập liệu'!$C$15+IF(10&gt;='Nhập liệu'!$C$17,'Nhập liệu'!$C$16,0)</f>
        <v>12</v>
      </c>
      <c r="L17" s="19" t="n">
        <f aca="false">'Nhập liệu'!$C$15+IF(11&gt;='Nhập liệu'!$C$17,'Nhập liệu'!$C$16,0)</f>
        <v>12</v>
      </c>
      <c r="M17" s="19" t="n">
        <f aca="false">'Nhập liệu'!$C$15+IF(12&gt;='Nhập liệu'!$C$17,'Nhập liệu'!$C$16,0)</f>
        <v>12</v>
      </c>
      <c r="N17" s="26" t="n">
        <f aca="false">AVERAGE(B17:M17)</f>
        <v>11</v>
      </c>
    </row>
    <row r="18" customFormat="false" ht="15" hidden="false" customHeight="false" outlineLevel="0" collapsed="false">
      <c r="A18" s="7" t="s">
        <v>77</v>
      </c>
      <c r="B18" s="19" t="n">
        <f aca="false">B17*IF('Nhập liệu'!$C$14="Theo năm",'Nhập liệu'!$C$12,'Nhập liệu'!$C$13)*IF('Nhập liệu'!$C$11="USD",'Nhập liệu'!$B$5,1)*(1+'Nhập liệu'!$B$6)</f>
        <v>3300000</v>
      </c>
      <c r="C18" s="19" t="n">
        <f aca="false">C17*IF('Nhập liệu'!$C$14="Theo năm",'Nhập liệu'!$C$12,'Nhập liệu'!$C$13)*IF('Nhập liệu'!$C$11="USD",'Nhập liệu'!$B$5,1)*(1+'Nhập liệu'!$B$6)</f>
        <v>3300000</v>
      </c>
      <c r="D18" s="19" t="n">
        <f aca="false">D17*IF('Nhập liệu'!$C$14="Theo năm",'Nhập liệu'!$C$12,'Nhập liệu'!$C$13)*IF('Nhập liệu'!$C$11="USD",'Nhập liệu'!$B$5,1)*(1+'Nhập liệu'!$B$6)</f>
        <v>3300000</v>
      </c>
      <c r="E18" s="19" t="n">
        <f aca="false">E17*IF('Nhập liệu'!$C$14="Theo năm",'Nhập liệu'!$C$12,'Nhập liệu'!$C$13)*IF('Nhập liệu'!$C$11="USD",'Nhập liệu'!$B$5,1)*(1+'Nhập liệu'!$B$6)</f>
        <v>3300000</v>
      </c>
      <c r="F18" s="19" t="n">
        <f aca="false">F17*IF('Nhập liệu'!$C$14="Theo năm",'Nhập liệu'!$C$12,'Nhập liệu'!$C$13)*IF('Nhập liệu'!$C$11="USD",'Nhập liệu'!$B$5,1)*(1+'Nhập liệu'!$B$6)</f>
        <v>3300000</v>
      </c>
      <c r="G18" s="19" t="n">
        <f aca="false">G17*IF('Nhập liệu'!$C$14="Theo năm",'Nhập liệu'!$C$12,'Nhập liệu'!$C$13)*IF('Nhập liệu'!$C$11="USD",'Nhập liệu'!$B$5,1)*(1+'Nhập liệu'!$B$6)</f>
        <v>3300000</v>
      </c>
      <c r="H18" s="19" t="n">
        <f aca="false">H17*IF('Nhập liệu'!$C$14="Theo năm",'Nhập liệu'!$C$12,'Nhập liệu'!$C$13)*IF('Nhập liệu'!$C$11="USD",'Nhập liệu'!$B$5,1)*(1+'Nhập liệu'!$B$6)</f>
        <v>3960000</v>
      </c>
      <c r="I18" s="19" t="n">
        <f aca="false">I17*IF('Nhập liệu'!$C$14="Theo năm",'Nhập liệu'!$C$12,'Nhập liệu'!$C$13)*IF('Nhập liệu'!$C$11="USD",'Nhập liệu'!$B$5,1)*(1+'Nhập liệu'!$B$6)</f>
        <v>3960000</v>
      </c>
      <c r="J18" s="19" t="n">
        <f aca="false">J17*IF('Nhập liệu'!$C$14="Theo năm",'Nhập liệu'!$C$12,'Nhập liệu'!$C$13)*IF('Nhập liệu'!$C$11="USD",'Nhập liệu'!$B$5,1)*(1+'Nhập liệu'!$B$6)</f>
        <v>3960000</v>
      </c>
      <c r="K18" s="19" t="n">
        <f aca="false">K17*IF('Nhập liệu'!$C$14="Theo năm",'Nhập liệu'!$C$12,'Nhập liệu'!$C$13)*IF('Nhập liệu'!$C$11="USD",'Nhập liệu'!$B$5,1)*(1+'Nhập liệu'!$B$6)</f>
        <v>3960000</v>
      </c>
      <c r="L18" s="19" t="n">
        <f aca="false">L17*IF('Nhập liệu'!$C$14="Theo năm",'Nhập liệu'!$C$12,'Nhập liệu'!$C$13)*IF('Nhập liệu'!$C$11="USD",'Nhập liệu'!$B$5,1)*(1+'Nhập liệu'!$B$6)</f>
        <v>3960000</v>
      </c>
      <c r="M18" s="19" t="n">
        <f aca="false">M17*IF('Nhập liệu'!$C$14="Theo năm",'Nhập liệu'!$C$12,'Nhập liệu'!$C$13)*IF('Nhập liệu'!$C$11="USD",'Nhập liệu'!$B$5,1)*(1+'Nhập liệu'!$B$6)</f>
        <v>3960000</v>
      </c>
      <c r="N18" s="27" t="n">
        <f aca="false">SUM(B18:M18)</f>
        <v>43560000</v>
      </c>
    </row>
    <row r="19" customFormat="false" ht="15" hidden="false" customHeight="false" outlineLevel="0" collapsed="false">
      <c r="A19" s="7" t="s">
        <v>78</v>
      </c>
      <c r="B19" s="19" t="n">
        <f aca="false">'Nhập liệu'!$C$21</f>
        <v>500000</v>
      </c>
      <c r="C19" s="19" t="n">
        <f aca="false">'Nhập liệu'!$C$21</f>
        <v>500000</v>
      </c>
      <c r="D19" s="19" t="n">
        <f aca="false">'Nhập liệu'!$C$21</f>
        <v>500000</v>
      </c>
      <c r="E19" s="19" t="n">
        <f aca="false">'Nhập liệu'!$C$21</f>
        <v>500000</v>
      </c>
      <c r="F19" s="19" t="n">
        <f aca="false">'Nhập liệu'!$C$21</f>
        <v>500000</v>
      </c>
      <c r="G19" s="19" t="n">
        <f aca="false">'Nhập liệu'!$C$21</f>
        <v>500000</v>
      </c>
      <c r="H19" s="19" t="n">
        <f aca="false">'Nhập liệu'!$C$21</f>
        <v>500000</v>
      </c>
      <c r="I19" s="19" t="n">
        <f aca="false">'Nhập liệu'!$C$21</f>
        <v>500000</v>
      </c>
      <c r="J19" s="19" t="n">
        <f aca="false">'Nhập liệu'!$C$21</f>
        <v>500000</v>
      </c>
      <c r="K19" s="19" t="n">
        <f aca="false">'Nhập liệu'!$C$21</f>
        <v>500000</v>
      </c>
      <c r="L19" s="19" t="n">
        <f aca="false">'Nhập liệu'!$C$21</f>
        <v>500000</v>
      </c>
      <c r="M19" s="19" t="n">
        <f aca="false">'Nhập liệu'!$C$21</f>
        <v>500000</v>
      </c>
      <c r="N19" s="27" t="n">
        <f aca="false">SUM(B19:M19)</f>
        <v>6000000</v>
      </c>
    </row>
    <row r="20" customFormat="false" ht="15" hidden="false" customHeight="false" outlineLevel="0" collapsed="false">
      <c r="A20" s="7" t="s">
        <v>79</v>
      </c>
      <c r="B20" s="19" t="n">
        <f aca="false">'Nhập liệu'!$C$22*'Nhập liệu'!$B$7</f>
        <v>600000</v>
      </c>
      <c r="C20" s="19" t="n">
        <f aca="false">'Nhập liệu'!$C$22*'Nhập liệu'!$B$7</f>
        <v>600000</v>
      </c>
      <c r="D20" s="19" t="n">
        <f aca="false">'Nhập liệu'!$C$22*'Nhập liệu'!$B$7</f>
        <v>600000</v>
      </c>
      <c r="E20" s="19" t="n">
        <f aca="false">'Nhập liệu'!$C$22*'Nhập liệu'!$B$7</f>
        <v>600000</v>
      </c>
      <c r="F20" s="19" t="n">
        <f aca="false">'Nhập liệu'!$C$22*'Nhập liệu'!$B$7</f>
        <v>600000</v>
      </c>
      <c r="G20" s="19" t="n">
        <f aca="false">'Nhập liệu'!$C$22*'Nhập liệu'!$B$7</f>
        <v>600000</v>
      </c>
      <c r="H20" s="19" t="n">
        <f aca="false">'Nhập liệu'!$C$22*'Nhập liệu'!$B$7</f>
        <v>600000</v>
      </c>
      <c r="I20" s="19" t="n">
        <f aca="false">'Nhập liệu'!$C$22*'Nhập liệu'!$B$7</f>
        <v>600000</v>
      </c>
      <c r="J20" s="19" t="n">
        <f aca="false">'Nhập liệu'!$C$22*'Nhập liệu'!$B$7</f>
        <v>600000</v>
      </c>
      <c r="K20" s="19" t="n">
        <f aca="false">'Nhập liệu'!$C$22*'Nhập liệu'!$B$7</f>
        <v>600000</v>
      </c>
      <c r="L20" s="19" t="n">
        <f aca="false">'Nhập liệu'!$C$22*'Nhập liệu'!$B$7</f>
        <v>600000</v>
      </c>
      <c r="M20" s="19" t="n">
        <f aca="false">'Nhập liệu'!$C$22*'Nhập liệu'!$B$7</f>
        <v>600000</v>
      </c>
      <c r="N20" s="27" t="n">
        <f aca="false">SUM(B20:M20)</f>
        <v>7200000</v>
      </c>
    </row>
    <row r="21" customFormat="false" ht="15" hidden="false" customHeight="false" outlineLevel="0" collapsed="false">
      <c r="A21" s="7" t="s">
        <v>80</v>
      </c>
      <c r="B21" s="19" t="n">
        <f aca="false">('Nhập liệu'!$C$24+'Nhập liệu'!$C$25)/12</f>
        <v>250000</v>
      </c>
      <c r="C21" s="19" t="n">
        <f aca="false">('Nhập liệu'!$C$24+'Nhập liệu'!$C$25)/12</f>
        <v>250000</v>
      </c>
      <c r="D21" s="19" t="n">
        <f aca="false">('Nhập liệu'!$C$24+'Nhập liệu'!$C$25)/12</f>
        <v>250000</v>
      </c>
      <c r="E21" s="19" t="n">
        <f aca="false">('Nhập liệu'!$C$24+'Nhập liệu'!$C$25)/12</f>
        <v>250000</v>
      </c>
      <c r="F21" s="19" t="n">
        <f aca="false">('Nhập liệu'!$C$24+'Nhập liệu'!$C$25)/12</f>
        <v>250000</v>
      </c>
      <c r="G21" s="19" t="n">
        <f aca="false">('Nhập liệu'!$C$24+'Nhập liệu'!$C$25)/12</f>
        <v>250000</v>
      </c>
      <c r="H21" s="19" t="n">
        <f aca="false">('Nhập liệu'!$C$24+'Nhập liệu'!$C$25)/12</f>
        <v>250000</v>
      </c>
      <c r="I21" s="19" t="n">
        <f aca="false">('Nhập liệu'!$C$24+'Nhập liệu'!$C$25)/12</f>
        <v>250000</v>
      </c>
      <c r="J21" s="19" t="n">
        <f aca="false">('Nhập liệu'!$C$24+'Nhập liệu'!$C$25)/12</f>
        <v>250000</v>
      </c>
      <c r="K21" s="19" t="n">
        <f aca="false">('Nhập liệu'!$C$24+'Nhập liệu'!$C$25)/12</f>
        <v>250000</v>
      </c>
      <c r="L21" s="19" t="n">
        <f aca="false">('Nhập liệu'!$C$24+'Nhập liệu'!$C$25)/12</f>
        <v>250000</v>
      </c>
      <c r="M21" s="19" t="n">
        <f aca="false">('Nhập liệu'!$C$24+'Nhập liệu'!$C$25)/12</f>
        <v>250000</v>
      </c>
      <c r="N21" s="27" t="n">
        <f aca="false">SUM(B21:M21)</f>
        <v>3000000</v>
      </c>
    </row>
    <row r="22" customFormat="false" ht="15" hidden="false" customHeight="false" outlineLevel="0" collapsed="false">
      <c r="A22" s="7" t="s">
        <v>107</v>
      </c>
      <c r="B22" s="19" t="n">
        <f aca="false">IF(1=1,'Nhập liệu'!$C$18+'Nhập liệu'!$C$19+'Nhập liệu'!$C$20,0)</f>
        <v>24000000</v>
      </c>
      <c r="C22" s="19" t="n">
        <f aca="false">IF(2=1,'Nhập liệu'!$C$18+'Nhập liệu'!$C$19+'Nhập liệu'!$C$20,0)</f>
        <v>0</v>
      </c>
      <c r="D22" s="19" t="n">
        <f aca="false">IF(3=1,'Nhập liệu'!$C$18+'Nhập liệu'!$C$19+'Nhập liệu'!$C$20,0)</f>
        <v>0</v>
      </c>
      <c r="E22" s="19" t="n">
        <f aca="false">IF(4=1,'Nhập liệu'!$C$18+'Nhập liệu'!$C$19+'Nhập liệu'!$C$20,0)</f>
        <v>0</v>
      </c>
      <c r="F22" s="19" t="n">
        <f aca="false">IF(5=1,'Nhập liệu'!$C$18+'Nhập liệu'!$C$19+'Nhập liệu'!$C$20,0)</f>
        <v>0</v>
      </c>
      <c r="G22" s="19" t="n">
        <f aca="false">IF(6=1,'Nhập liệu'!$C$18+'Nhập liệu'!$C$19+'Nhập liệu'!$C$20,0)</f>
        <v>0</v>
      </c>
      <c r="H22" s="19" t="n">
        <f aca="false">IF(7=1,'Nhập liệu'!$C$18+'Nhập liệu'!$C$19+'Nhập liệu'!$C$20,0)</f>
        <v>0</v>
      </c>
      <c r="I22" s="19" t="n">
        <f aca="false">IF(8=1,'Nhập liệu'!$C$18+'Nhập liệu'!$C$19+'Nhập liệu'!$C$20,0)</f>
        <v>0</v>
      </c>
      <c r="J22" s="19" t="n">
        <f aca="false">IF(9=1,'Nhập liệu'!$C$18+'Nhập liệu'!$C$19+'Nhập liệu'!$C$20,0)</f>
        <v>0</v>
      </c>
      <c r="K22" s="19" t="n">
        <f aca="false">IF(10=1,'Nhập liệu'!$C$18+'Nhập liệu'!$C$19+'Nhập liệu'!$C$20,0)</f>
        <v>0</v>
      </c>
      <c r="L22" s="19" t="n">
        <f aca="false">IF(11=1,'Nhập liệu'!$C$18+'Nhập liệu'!$C$19+'Nhập liệu'!$C$20,0)</f>
        <v>0</v>
      </c>
      <c r="M22" s="19" t="n">
        <f aca="false">IF(12=1,'Nhập liệu'!$C$18+'Nhập liệu'!$C$19+'Nhập liệu'!$C$20,0)</f>
        <v>0</v>
      </c>
      <c r="N22" s="27" t="n">
        <f aca="false">SUM(B22:M22)</f>
        <v>24000000</v>
      </c>
    </row>
    <row r="23" customFormat="false" ht="15" hidden="false" customHeight="false" outlineLevel="0" collapsed="false">
      <c r="A23" s="7" t="s">
        <v>82</v>
      </c>
      <c r="B23" s="19" t="n">
        <f aca="false">IF(1=1,'Nhập liệu'!$C$23*'Nhập liệu'!$C$15*'Nhập liệu'!$B$7,0)+IF(1='Nhập liệu'!$C$17,'Nhập liệu'!$C$23*'Nhập liệu'!$C$16*'Nhập liệu'!$B$7,0)</f>
        <v>8000000</v>
      </c>
      <c r="C23" s="19" t="n">
        <f aca="false">IF(2=1,'Nhập liệu'!$C$23*'Nhập liệu'!$C$15*'Nhập liệu'!$B$7,0)+IF(2='Nhập liệu'!$C$17,'Nhập liệu'!$C$23*'Nhập liệu'!$C$16*'Nhập liệu'!$B$7,0)</f>
        <v>0</v>
      </c>
      <c r="D23" s="19" t="n">
        <f aca="false">IF(3=1,'Nhập liệu'!$C$23*'Nhập liệu'!$C$15*'Nhập liệu'!$B$7,0)+IF(3='Nhập liệu'!$C$17,'Nhập liệu'!$C$23*'Nhập liệu'!$C$16*'Nhập liệu'!$B$7,0)</f>
        <v>0</v>
      </c>
      <c r="E23" s="19" t="n">
        <f aca="false">IF(4=1,'Nhập liệu'!$C$23*'Nhập liệu'!$C$15*'Nhập liệu'!$B$7,0)+IF(4='Nhập liệu'!$C$17,'Nhập liệu'!$C$23*'Nhập liệu'!$C$16*'Nhập liệu'!$B$7,0)</f>
        <v>0</v>
      </c>
      <c r="F23" s="19" t="n">
        <f aca="false">IF(5=1,'Nhập liệu'!$C$23*'Nhập liệu'!$C$15*'Nhập liệu'!$B$7,0)+IF(5='Nhập liệu'!$C$17,'Nhập liệu'!$C$23*'Nhập liệu'!$C$16*'Nhập liệu'!$B$7,0)</f>
        <v>0</v>
      </c>
      <c r="G23" s="19" t="n">
        <f aca="false">IF(6=1,'Nhập liệu'!$C$23*'Nhập liệu'!$C$15*'Nhập liệu'!$B$7,0)+IF(6='Nhập liệu'!$C$17,'Nhập liệu'!$C$23*'Nhập liệu'!$C$16*'Nhập liệu'!$B$7,0)</f>
        <v>0</v>
      </c>
      <c r="H23" s="19" t="n">
        <f aca="false">IF(7=1,'Nhập liệu'!$C$23*'Nhập liệu'!$C$15*'Nhập liệu'!$B$7,0)+IF(7='Nhập liệu'!$C$17,'Nhập liệu'!$C$23*'Nhập liệu'!$C$16*'Nhập liệu'!$B$7,0)</f>
        <v>1600000</v>
      </c>
      <c r="I23" s="19" t="n">
        <f aca="false">IF(8=1,'Nhập liệu'!$C$23*'Nhập liệu'!$C$15*'Nhập liệu'!$B$7,0)+IF(8='Nhập liệu'!$C$17,'Nhập liệu'!$C$23*'Nhập liệu'!$C$16*'Nhập liệu'!$B$7,0)</f>
        <v>0</v>
      </c>
      <c r="J23" s="19" t="n">
        <f aca="false">IF(9=1,'Nhập liệu'!$C$23*'Nhập liệu'!$C$15*'Nhập liệu'!$B$7,0)+IF(9='Nhập liệu'!$C$17,'Nhập liệu'!$C$23*'Nhập liệu'!$C$16*'Nhập liệu'!$B$7,0)</f>
        <v>0</v>
      </c>
      <c r="K23" s="19" t="n">
        <f aca="false">IF(10=1,'Nhập liệu'!$C$23*'Nhập liệu'!$C$15*'Nhập liệu'!$B$7,0)+IF(10='Nhập liệu'!$C$17,'Nhập liệu'!$C$23*'Nhập liệu'!$C$16*'Nhập liệu'!$B$7,0)</f>
        <v>0</v>
      </c>
      <c r="L23" s="19" t="n">
        <f aca="false">IF(11=1,'Nhập liệu'!$C$23*'Nhập liệu'!$C$15*'Nhập liệu'!$B$7,0)+IF(11='Nhập liệu'!$C$17,'Nhập liệu'!$C$23*'Nhập liệu'!$C$16*'Nhập liệu'!$B$7,0)</f>
        <v>0</v>
      </c>
      <c r="M23" s="19" t="n">
        <f aca="false">IF(12=1,'Nhập liệu'!$C$23*'Nhập liệu'!$C$15*'Nhập liệu'!$B$7,0)+IF(12='Nhập liệu'!$C$17,'Nhập liệu'!$C$23*'Nhập liệu'!$C$16*'Nhập liệu'!$B$7,0)</f>
        <v>0</v>
      </c>
      <c r="N23" s="27" t="n">
        <f aca="false">SUM(B23:M23)</f>
        <v>9600000</v>
      </c>
    </row>
    <row r="24" customFormat="false" ht="15" hidden="false" customHeight="false" outlineLevel="0" collapsed="false">
      <c r="A24" s="28" t="s">
        <v>108</v>
      </c>
      <c r="B24" s="20" t="n">
        <f aca="false">B18+B19+B20+B21+B22+B23</f>
        <v>36650000</v>
      </c>
      <c r="C24" s="20" t="n">
        <f aca="false">C18+C19+C20+C21+C22+C23</f>
        <v>4650000</v>
      </c>
      <c r="D24" s="20" t="n">
        <f aca="false">D18+D19+D20+D21+D22+D23</f>
        <v>4650000</v>
      </c>
      <c r="E24" s="20" t="n">
        <f aca="false">E18+E19+E20+E21+E22+E23</f>
        <v>4650000</v>
      </c>
      <c r="F24" s="20" t="n">
        <f aca="false">F18+F19+F20+F21+F22+F23</f>
        <v>4650000</v>
      </c>
      <c r="G24" s="20" t="n">
        <f aca="false">G18+G19+G20+G21+G22+G23</f>
        <v>4650000</v>
      </c>
      <c r="H24" s="20" t="n">
        <f aca="false">H18+H19+H20+H21+H22+H23</f>
        <v>6910000</v>
      </c>
      <c r="I24" s="20" t="n">
        <f aca="false">I18+I19+I20+I21+I22+I23</f>
        <v>5310000</v>
      </c>
      <c r="J24" s="20" t="n">
        <f aca="false">J18+J19+J20+J21+J22+J23</f>
        <v>5310000</v>
      </c>
      <c r="K24" s="20" t="n">
        <f aca="false">K18+K19+K20+K21+K22+K23</f>
        <v>5310000</v>
      </c>
      <c r="L24" s="20" t="n">
        <f aca="false">L18+L19+L20+L21+L22+L23</f>
        <v>5310000</v>
      </c>
      <c r="M24" s="20" t="n">
        <f aca="false">M18+M19+M20+M21+M22+M23</f>
        <v>5310000</v>
      </c>
      <c r="N24" s="27" t="n">
        <f aca="false">SUM(B24:M24)</f>
        <v>93360000</v>
      </c>
    </row>
    <row r="25" customFormat="false" ht="15" hidden="false" customHeight="false" outlineLevel="0" collapsed="false">
      <c r="A25" s="28" t="s">
        <v>109</v>
      </c>
      <c r="B25" s="27" t="n">
        <f aca="false">B24*(1+'Nhập liệu'!$C$26)</f>
        <v>40315000</v>
      </c>
      <c r="C25" s="27" t="n">
        <f aca="false">B25+C24*(1+'Nhập liệu'!$C$26)</f>
        <v>45430000</v>
      </c>
      <c r="D25" s="27" t="n">
        <f aca="false">C25+D24*(1+'Nhập liệu'!$C$26)</f>
        <v>50545000</v>
      </c>
      <c r="E25" s="27" t="n">
        <f aca="false">D25+E24*(1+'Nhập liệu'!$C$26)</f>
        <v>55660000</v>
      </c>
      <c r="F25" s="27" t="n">
        <f aca="false">E25+F24*(1+'Nhập liệu'!$C$26)</f>
        <v>60775000</v>
      </c>
      <c r="G25" s="27" t="n">
        <f aca="false">F25+G24*(1+'Nhập liệu'!$C$26)</f>
        <v>65890000</v>
      </c>
      <c r="H25" s="27" t="n">
        <f aca="false">G25+H24*(1+'Nhập liệu'!$C$26)</f>
        <v>73491000</v>
      </c>
      <c r="I25" s="27" t="n">
        <f aca="false">H25+I24*(1+'Nhập liệu'!$C$26)</f>
        <v>79332000</v>
      </c>
      <c r="J25" s="27" t="n">
        <f aca="false">I25+J24*(1+'Nhập liệu'!$C$26)</f>
        <v>85173000</v>
      </c>
      <c r="K25" s="27" t="n">
        <f aca="false">J25+K24*(1+'Nhập liệu'!$C$26)</f>
        <v>91014000</v>
      </c>
      <c r="L25" s="27" t="n">
        <f aca="false">K25+L24*(1+'Nhập liệu'!$C$26)</f>
        <v>96855000</v>
      </c>
      <c r="M25" s="27" t="n">
        <f aca="false">L25+M24*(1+'Nhập liệu'!$C$26)</f>
        <v>102696000</v>
      </c>
      <c r="N25" s="27" t="n">
        <f aca="false">M25</f>
        <v>102696000</v>
      </c>
    </row>
    <row r="28" customFormat="false" ht="15" hidden="false" customHeight="false" outlineLevel="0" collapsed="false">
      <c r="A28" s="25" t="str">
        <f aca="false">'Nhập liệu'!$D$10</f>
        <v>CRM khác (giả định)</v>
      </c>
      <c r="B28" s="6" t="s">
        <v>93</v>
      </c>
      <c r="C28" s="6" t="s">
        <v>94</v>
      </c>
      <c r="D28" s="6" t="s">
        <v>95</v>
      </c>
      <c r="E28" s="6" t="s">
        <v>96</v>
      </c>
      <c r="F28" s="6" t="s">
        <v>97</v>
      </c>
      <c r="G28" s="6" t="s">
        <v>98</v>
      </c>
      <c r="H28" s="6" t="s">
        <v>99</v>
      </c>
      <c r="I28" s="6" t="s">
        <v>100</v>
      </c>
      <c r="J28" s="6" t="s">
        <v>101</v>
      </c>
      <c r="K28" s="6" t="s">
        <v>102</v>
      </c>
      <c r="L28" s="6" t="s">
        <v>103</v>
      </c>
      <c r="M28" s="6" t="s">
        <v>104</v>
      </c>
      <c r="N28" s="6" t="s">
        <v>105</v>
      </c>
    </row>
    <row r="29" customFormat="false" ht="15" hidden="false" customHeight="false" outlineLevel="0" collapsed="false">
      <c r="A29" s="7" t="s">
        <v>106</v>
      </c>
      <c r="B29" s="19" t="n">
        <f aca="false">'Nhập liệu'!$D$15+IF(1&gt;='Nhập liệu'!$D$17,'Nhập liệu'!$D$16,0)</f>
        <v>10</v>
      </c>
      <c r="C29" s="19" t="n">
        <f aca="false">'Nhập liệu'!$D$15+IF(2&gt;='Nhập liệu'!$D$17,'Nhập liệu'!$D$16,0)</f>
        <v>10</v>
      </c>
      <c r="D29" s="19" t="n">
        <f aca="false">'Nhập liệu'!$D$15+IF(3&gt;='Nhập liệu'!$D$17,'Nhập liệu'!$D$16,0)</f>
        <v>10</v>
      </c>
      <c r="E29" s="19" t="n">
        <f aca="false">'Nhập liệu'!$D$15+IF(4&gt;='Nhập liệu'!$D$17,'Nhập liệu'!$D$16,0)</f>
        <v>10</v>
      </c>
      <c r="F29" s="19" t="n">
        <f aca="false">'Nhập liệu'!$D$15+IF(5&gt;='Nhập liệu'!$D$17,'Nhập liệu'!$D$16,0)</f>
        <v>10</v>
      </c>
      <c r="G29" s="19" t="n">
        <f aca="false">'Nhập liệu'!$D$15+IF(6&gt;='Nhập liệu'!$D$17,'Nhập liệu'!$D$16,0)</f>
        <v>10</v>
      </c>
      <c r="H29" s="19" t="n">
        <f aca="false">'Nhập liệu'!$D$15+IF(7&gt;='Nhập liệu'!$D$17,'Nhập liệu'!$D$16,0)</f>
        <v>12</v>
      </c>
      <c r="I29" s="19" t="n">
        <f aca="false">'Nhập liệu'!$D$15+IF(8&gt;='Nhập liệu'!$D$17,'Nhập liệu'!$D$16,0)</f>
        <v>12</v>
      </c>
      <c r="J29" s="19" t="n">
        <f aca="false">'Nhập liệu'!$D$15+IF(9&gt;='Nhập liệu'!$D$17,'Nhập liệu'!$D$16,0)</f>
        <v>12</v>
      </c>
      <c r="K29" s="19" t="n">
        <f aca="false">'Nhập liệu'!$D$15+IF(10&gt;='Nhập liệu'!$D$17,'Nhập liệu'!$D$16,0)</f>
        <v>12</v>
      </c>
      <c r="L29" s="19" t="n">
        <f aca="false">'Nhập liệu'!$D$15+IF(11&gt;='Nhập liệu'!$D$17,'Nhập liệu'!$D$16,0)</f>
        <v>12</v>
      </c>
      <c r="M29" s="19" t="n">
        <f aca="false">'Nhập liệu'!$D$15+IF(12&gt;='Nhập liệu'!$D$17,'Nhập liệu'!$D$16,0)</f>
        <v>12</v>
      </c>
      <c r="N29" s="26" t="n">
        <f aca="false">AVERAGE(B29:M29)</f>
        <v>11</v>
      </c>
    </row>
    <row r="30" customFormat="false" ht="15" hidden="false" customHeight="false" outlineLevel="0" collapsed="false">
      <c r="A30" s="7" t="s">
        <v>77</v>
      </c>
      <c r="B30" s="19" t="n">
        <f aca="false">B29*IF('Nhập liệu'!$D$14="Theo năm",'Nhập liệu'!$D$12,'Nhập liệu'!$D$13)*IF('Nhập liệu'!$D$11="USD",'Nhập liệu'!$B$5,1)*(1+'Nhập liệu'!$B$6)</f>
        <v>3960000</v>
      </c>
      <c r="C30" s="19" t="n">
        <f aca="false">C29*IF('Nhập liệu'!$D$14="Theo năm",'Nhập liệu'!$D$12,'Nhập liệu'!$D$13)*IF('Nhập liệu'!$D$11="USD",'Nhập liệu'!$B$5,1)*(1+'Nhập liệu'!$B$6)</f>
        <v>3960000</v>
      </c>
      <c r="D30" s="19" t="n">
        <f aca="false">D29*IF('Nhập liệu'!$D$14="Theo năm",'Nhập liệu'!$D$12,'Nhập liệu'!$D$13)*IF('Nhập liệu'!$D$11="USD",'Nhập liệu'!$B$5,1)*(1+'Nhập liệu'!$B$6)</f>
        <v>3960000</v>
      </c>
      <c r="E30" s="19" t="n">
        <f aca="false">E29*IF('Nhập liệu'!$D$14="Theo năm",'Nhập liệu'!$D$12,'Nhập liệu'!$D$13)*IF('Nhập liệu'!$D$11="USD",'Nhập liệu'!$B$5,1)*(1+'Nhập liệu'!$B$6)</f>
        <v>3960000</v>
      </c>
      <c r="F30" s="19" t="n">
        <f aca="false">F29*IF('Nhập liệu'!$D$14="Theo năm",'Nhập liệu'!$D$12,'Nhập liệu'!$D$13)*IF('Nhập liệu'!$D$11="USD",'Nhập liệu'!$B$5,1)*(1+'Nhập liệu'!$B$6)</f>
        <v>3960000</v>
      </c>
      <c r="G30" s="19" t="n">
        <f aca="false">G29*IF('Nhập liệu'!$D$14="Theo năm",'Nhập liệu'!$D$12,'Nhập liệu'!$D$13)*IF('Nhập liệu'!$D$11="USD",'Nhập liệu'!$B$5,1)*(1+'Nhập liệu'!$B$6)</f>
        <v>3960000</v>
      </c>
      <c r="H30" s="19" t="n">
        <f aca="false">H29*IF('Nhập liệu'!$D$14="Theo năm",'Nhập liệu'!$D$12,'Nhập liệu'!$D$13)*IF('Nhập liệu'!$D$11="USD",'Nhập liệu'!$B$5,1)*(1+'Nhập liệu'!$B$6)</f>
        <v>4752000</v>
      </c>
      <c r="I30" s="19" t="n">
        <f aca="false">I29*IF('Nhập liệu'!$D$14="Theo năm",'Nhập liệu'!$D$12,'Nhập liệu'!$D$13)*IF('Nhập liệu'!$D$11="USD",'Nhập liệu'!$B$5,1)*(1+'Nhập liệu'!$B$6)</f>
        <v>4752000</v>
      </c>
      <c r="J30" s="19" t="n">
        <f aca="false">J29*IF('Nhập liệu'!$D$14="Theo năm",'Nhập liệu'!$D$12,'Nhập liệu'!$D$13)*IF('Nhập liệu'!$D$11="USD",'Nhập liệu'!$B$5,1)*(1+'Nhập liệu'!$B$6)</f>
        <v>4752000</v>
      </c>
      <c r="K30" s="19" t="n">
        <f aca="false">K29*IF('Nhập liệu'!$D$14="Theo năm",'Nhập liệu'!$D$12,'Nhập liệu'!$D$13)*IF('Nhập liệu'!$D$11="USD",'Nhập liệu'!$B$5,1)*(1+'Nhập liệu'!$B$6)</f>
        <v>4752000</v>
      </c>
      <c r="L30" s="19" t="n">
        <f aca="false">L29*IF('Nhập liệu'!$D$14="Theo năm",'Nhập liệu'!$D$12,'Nhập liệu'!$D$13)*IF('Nhập liệu'!$D$11="USD",'Nhập liệu'!$B$5,1)*(1+'Nhập liệu'!$B$6)</f>
        <v>4752000</v>
      </c>
      <c r="M30" s="19" t="n">
        <f aca="false">M29*IF('Nhập liệu'!$D$14="Theo năm",'Nhập liệu'!$D$12,'Nhập liệu'!$D$13)*IF('Nhập liệu'!$D$11="USD",'Nhập liệu'!$B$5,1)*(1+'Nhập liệu'!$B$6)</f>
        <v>4752000</v>
      </c>
      <c r="N30" s="27" t="n">
        <f aca="false">SUM(B30:M30)</f>
        <v>52272000</v>
      </c>
    </row>
    <row r="31" customFormat="false" ht="15" hidden="false" customHeight="false" outlineLevel="0" collapsed="false">
      <c r="A31" s="7" t="s">
        <v>78</v>
      </c>
      <c r="B31" s="19" t="n">
        <f aca="false">'Nhập liệu'!$D$21</f>
        <v>1000000</v>
      </c>
      <c r="C31" s="19" t="n">
        <f aca="false">'Nhập liệu'!$D$21</f>
        <v>1000000</v>
      </c>
      <c r="D31" s="19" t="n">
        <f aca="false">'Nhập liệu'!$D$21</f>
        <v>1000000</v>
      </c>
      <c r="E31" s="19" t="n">
        <f aca="false">'Nhập liệu'!$D$21</f>
        <v>1000000</v>
      </c>
      <c r="F31" s="19" t="n">
        <f aca="false">'Nhập liệu'!$D$21</f>
        <v>1000000</v>
      </c>
      <c r="G31" s="19" t="n">
        <f aca="false">'Nhập liệu'!$D$21</f>
        <v>1000000</v>
      </c>
      <c r="H31" s="19" t="n">
        <f aca="false">'Nhập liệu'!$D$21</f>
        <v>1000000</v>
      </c>
      <c r="I31" s="19" t="n">
        <f aca="false">'Nhập liệu'!$D$21</f>
        <v>1000000</v>
      </c>
      <c r="J31" s="19" t="n">
        <f aca="false">'Nhập liệu'!$D$21</f>
        <v>1000000</v>
      </c>
      <c r="K31" s="19" t="n">
        <f aca="false">'Nhập liệu'!$D$21</f>
        <v>1000000</v>
      </c>
      <c r="L31" s="19" t="n">
        <f aca="false">'Nhập liệu'!$D$21</f>
        <v>1000000</v>
      </c>
      <c r="M31" s="19" t="n">
        <f aca="false">'Nhập liệu'!$D$21</f>
        <v>1000000</v>
      </c>
      <c r="N31" s="27" t="n">
        <f aca="false">SUM(B31:M31)</f>
        <v>12000000</v>
      </c>
    </row>
    <row r="32" customFormat="false" ht="15" hidden="false" customHeight="false" outlineLevel="0" collapsed="false">
      <c r="A32" s="7" t="s">
        <v>79</v>
      </c>
      <c r="B32" s="19" t="n">
        <f aca="false">'Nhập liệu'!$D$22*'Nhập liệu'!$B$7</f>
        <v>600000</v>
      </c>
      <c r="C32" s="19" t="n">
        <f aca="false">'Nhập liệu'!$D$22*'Nhập liệu'!$B$7</f>
        <v>600000</v>
      </c>
      <c r="D32" s="19" t="n">
        <f aca="false">'Nhập liệu'!$D$22*'Nhập liệu'!$B$7</f>
        <v>600000</v>
      </c>
      <c r="E32" s="19" t="n">
        <f aca="false">'Nhập liệu'!$D$22*'Nhập liệu'!$B$7</f>
        <v>600000</v>
      </c>
      <c r="F32" s="19" t="n">
        <f aca="false">'Nhập liệu'!$D$22*'Nhập liệu'!$B$7</f>
        <v>600000</v>
      </c>
      <c r="G32" s="19" t="n">
        <f aca="false">'Nhập liệu'!$D$22*'Nhập liệu'!$B$7</f>
        <v>600000</v>
      </c>
      <c r="H32" s="19" t="n">
        <f aca="false">'Nhập liệu'!$D$22*'Nhập liệu'!$B$7</f>
        <v>600000</v>
      </c>
      <c r="I32" s="19" t="n">
        <f aca="false">'Nhập liệu'!$D$22*'Nhập liệu'!$B$7</f>
        <v>600000</v>
      </c>
      <c r="J32" s="19" t="n">
        <f aca="false">'Nhập liệu'!$D$22*'Nhập liệu'!$B$7</f>
        <v>600000</v>
      </c>
      <c r="K32" s="19" t="n">
        <f aca="false">'Nhập liệu'!$D$22*'Nhập liệu'!$B$7</f>
        <v>600000</v>
      </c>
      <c r="L32" s="19" t="n">
        <f aca="false">'Nhập liệu'!$D$22*'Nhập liệu'!$B$7</f>
        <v>600000</v>
      </c>
      <c r="M32" s="19" t="n">
        <f aca="false">'Nhập liệu'!$D$22*'Nhập liệu'!$B$7</f>
        <v>600000</v>
      </c>
      <c r="N32" s="27" t="n">
        <f aca="false">SUM(B32:M32)</f>
        <v>7200000</v>
      </c>
    </row>
    <row r="33" customFormat="false" ht="15" hidden="false" customHeight="false" outlineLevel="0" collapsed="false">
      <c r="A33" s="7" t="s">
        <v>80</v>
      </c>
      <c r="B33" s="19" t="n">
        <f aca="false">('Nhập liệu'!$D$24+'Nhập liệu'!$D$25)/12</f>
        <v>250000</v>
      </c>
      <c r="C33" s="19" t="n">
        <f aca="false">('Nhập liệu'!$D$24+'Nhập liệu'!$D$25)/12</f>
        <v>250000</v>
      </c>
      <c r="D33" s="19" t="n">
        <f aca="false">('Nhập liệu'!$D$24+'Nhập liệu'!$D$25)/12</f>
        <v>250000</v>
      </c>
      <c r="E33" s="19" t="n">
        <f aca="false">('Nhập liệu'!$D$24+'Nhập liệu'!$D$25)/12</f>
        <v>250000</v>
      </c>
      <c r="F33" s="19" t="n">
        <f aca="false">('Nhập liệu'!$D$24+'Nhập liệu'!$D$25)/12</f>
        <v>250000</v>
      </c>
      <c r="G33" s="19" t="n">
        <f aca="false">('Nhập liệu'!$D$24+'Nhập liệu'!$D$25)/12</f>
        <v>250000</v>
      </c>
      <c r="H33" s="19" t="n">
        <f aca="false">('Nhập liệu'!$D$24+'Nhập liệu'!$D$25)/12</f>
        <v>250000</v>
      </c>
      <c r="I33" s="19" t="n">
        <f aca="false">('Nhập liệu'!$D$24+'Nhập liệu'!$D$25)/12</f>
        <v>250000</v>
      </c>
      <c r="J33" s="19" t="n">
        <f aca="false">('Nhập liệu'!$D$24+'Nhập liệu'!$D$25)/12</f>
        <v>250000</v>
      </c>
      <c r="K33" s="19" t="n">
        <f aca="false">('Nhập liệu'!$D$24+'Nhập liệu'!$D$25)/12</f>
        <v>250000</v>
      </c>
      <c r="L33" s="19" t="n">
        <f aca="false">('Nhập liệu'!$D$24+'Nhập liệu'!$D$25)/12</f>
        <v>250000</v>
      </c>
      <c r="M33" s="19" t="n">
        <f aca="false">('Nhập liệu'!$D$24+'Nhập liệu'!$D$25)/12</f>
        <v>250000</v>
      </c>
      <c r="N33" s="27" t="n">
        <f aca="false">SUM(B33:M33)</f>
        <v>3000000</v>
      </c>
    </row>
    <row r="34" customFormat="false" ht="15" hidden="false" customHeight="false" outlineLevel="0" collapsed="false">
      <c r="A34" s="7" t="s">
        <v>107</v>
      </c>
      <c r="B34" s="19" t="n">
        <f aca="false">IF(1=1,'Nhập liệu'!$D$18+'Nhập liệu'!$D$19+'Nhập liệu'!$D$20,0)</f>
        <v>34000000</v>
      </c>
      <c r="C34" s="19" t="n">
        <f aca="false">IF(2=1,'Nhập liệu'!$D$18+'Nhập liệu'!$D$19+'Nhập liệu'!$D$20,0)</f>
        <v>0</v>
      </c>
      <c r="D34" s="19" t="n">
        <f aca="false">IF(3=1,'Nhập liệu'!$D$18+'Nhập liệu'!$D$19+'Nhập liệu'!$D$20,0)</f>
        <v>0</v>
      </c>
      <c r="E34" s="19" t="n">
        <f aca="false">IF(4=1,'Nhập liệu'!$D$18+'Nhập liệu'!$D$19+'Nhập liệu'!$D$20,0)</f>
        <v>0</v>
      </c>
      <c r="F34" s="19" t="n">
        <f aca="false">IF(5=1,'Nhập liệu'!$D$18+'Nhập liệu'!$D$19+'Nhập liệu'!$D$20,0)</f>
        <v>0</v>
      </c>
      <c r="G34" s="19" t="n">
        <f aca="false">IF(6=1,'Nhập liệu'!$D$18+'Nhập liệu'!$D$19+'Nhập liệu'!$D$20,0)</f>
        <v>0</v>
      </c>
      <c r="H34" s="19" t="n">
        <f aca="false">IF(7=1,'Nhập liệu'!$D$18+'Nhập liệu'!$D$19+'Nhập liệu'!$D$20,0)</f>
        <v>0</v>
      </c>
      <c r="I34" s="19" t="n">
        <f aca="false">IF(8=1,'Nhập liệu'!$D$18+'Nhập liệu'!$D$19+'Nhập liệu'!$D$20,0)</f>
        <v>0</v>
      </c>
      <c r="J34" s="19" t="n">
        <f aca="false">IF(9=1,'Nhập liệu'!$D$18+'Nhập liệu'!$D$19+'Nhập liệu'!$D$20,0)</f>
        <v>0</v>
      </c>
      <c r="K34" s="19" t="n">
        <f aca="false">IF(10=1,'Nhập liệu'!$D$18+'Nhập liệu'!$D$19+'Nhập liệu'!$D$20,0)</f>
        <v>0</v>
      </c>
      <c r="L34" s="19" t="n">
        <f aca="false">IF(11=1,'Nhập liệu'!$D$18+'Nhập liệu'!$D$19+'Nhập liệu'!$D$20,0)</f>
        <v>0</v>
      </c>
      <c r="M34" s="19" t="n">
        <f aca="false">IF(12=1,'Nhập liệu'!$D$18+'Nhập liệu'!$D$19+'Nhập liệu'!$D$20,0)</f>
        <v>0</v>
      </c>
      <c r="N34" s="27" t="n">
        <f aca="false">SUM(B34:M34)</f>
        <v>34000000</v>
      </c>
    </row>
    <row r="35" customFormat="false" ht="15" hidden="false" customHeight="false" outlineLevel="0" collapsed="false">
      <c r="A35" s="7" t="s">
        <v>82</v>
      </c>
      <c r="B35" s="19" t="n">
        <f aca="false">IF(1=1,'Nhập liệu'!$D$23*'Nhập liệu'!$D$15*'Nhập liệu'!$B$7,0)+IF(1='Nhập liệu'!$D$17,'Nhập liệu'!$D$23*'Nhập liệu'!$D$16*'Nhập liệu'!$B$7,0)</f>
        <v>8000000</v>
      </c>
      <c r="C35" s="19" t="n">
        <f aca="false">IF(2=1,'Nhập liệu'!$D$23*'Nhập liệu'!$D$15*'Nhập liệu'!$B$7,0)+IF(2='Nhập liệu'!$D$17,'Nhập liệu'!$D$23*'Nhập liệu'!$D$16*'Nhập liệu'!$B$7,0)</f>
        <v>0</v>
      </c>
      <c r="D35" s="19" t="n">
        <f aca="false">IF(3=1,'Nhập liệu'!$D$23*'Nhập liệu'!$D$15*'Nhập liệu'!$B$7,0)+IF(3='Nhập liệu'!$D$17,'Nhập liệu'!$D$23*'Nhập liệu'!$D$16*'Nhập liệu'!$B$7,0)</f>
        <v>0</v>
      </c>
      <c r="E35" s="19" t="n">
        <f aca="false">IF(4=1,'Nhập liệu'!$D$23*'Nhập liệu'!$D$15*'Nhập liệu'!$B$7,0)+IF(4='Nhập liệu'!$D$17,'Nhập liệu'!$D$23*'Nhập liệu'!$D$16*'Nhập liệu'!$B$7,0)</f>
        <v>0</v>
      </c>
      <c r="F35" s="19" t="n">
        <f aca="false">IF(5=1,'Nhập liệu'!$D$23*'Nhập liệu'!$D$15*'Nhập liệu'!$B$7,0)+IF(5='Nhập liệu'!$D$17,'Nhập liệu'!$D$23*'Nhập liệu'!$D$16*'Nhập liệu'!$B$7,0)</f>
        <v>0</v>
      </c>
      <c r="G35" s="19" t="n">
        <f aca="false">IF(6=1,'Nhập liệu'!$D$23*'Nhập liệu'!$D$15*'Nhập liệu'!$B$7,0)+IF(6='Nhập liệu'!$D$17,'Nhập liệu'!$D$23*'Nhập liệu'!$D$16*'Nhập liệu'!$B$7,0)</f>
        <v>0</v>
      </c>
      <c r="H35" s="19" t="n">
        <f aca="false">IF(7=1,'Nhập liệu'!$D$23*'Nhập liệu'!$D$15*'Nhập liệu'!$B$7,0)+IF(7='Nhập liệu'!$D$17,'Nhập liệu'!$D$23*'Nhập liệu'!$D$16*'Nhập liệu'!$B$7,0)</f>
        <v>1600000</v>
      </c>
      <c r="I35" s="19" t="n">
        <f aca="false">IF(8=1,'Nhập liệu'!$D$23*'Nhập liệu'!$D$15*'Nhập liệu'!$B$7,0)+IF(8='Nhập liệu'!$D$17,'Nhập liệu'!$D$23*'Nhập liệu'!$D$16*'Nhập liệu'!$B$7,0)</f>
        <v>0</v>
      </c>
      <c r="J35" s="19" t="n">
        <f aca="false">IF(9=1,'Nhập liệu'!$D$23*'Nhập liệu'!$D$15*'Nhập liệu'!$B$7,0)+IF(9='Nhập liệu'!$D$17,'Nhập liệu'!$D$23*'Nhập liệu'!$D$16*'Nhập liệu'!$B$7,0)</f>
        <v>0</v>
      </c>
      <c r="K35" s="19" t="n">
        <f aca="false">IF(10=1,'Nhập liệu'!$D$23*'Nhập liệu'!$D$15*'Nhập liệu'!$B$7,0)+IF(10='Nhập liệu'!$D$17,'Nhập liệu'!$D$23*'Nhập liệu'!$D$16*'Nhập liệu'!$B$7,0)</f>
        <v>0</v>
      </c>
      <c r="L35" s="19" t="n">
        <f aca="false">IF(11=1,'Nhập liệu'!$D$23*'Nhập liệu'!$D$15*'Nhập liệu'!$B$7,0)+IF(11='Nhập liệu'!$D$17,'Nhập liệu'!$D$23*'Nhập liệu'!$D$16*'Nhập liệu'!$B$7,0)</f>
        <v>0</v>
      </c>
      <c r="M35" s="19" t="n">
        <f aca="false">IF(12=1,'Nhập liệu'!$D$23*'Nhập liệu'!$D$15*'Nhập liệu'!$B$7,0)+IF(12='Nhập liệu'!$D$17,'Nhập liệu'!$D$23*'Nhập liệu'!$D$16*'Nhập liệu'!$B$7,0)</f>
        <v>0</v>
      </c>
      <c r="N35" s="27" t="n">
        <f aca="false">SUM(B35:M35)</f>
        <v>9600000</v>
      </c>
    </row>
    <row r="36" customFormat="false" ht="15" hidden="false" customHeight="false" outlineLevel="0" collapsed="false">
      <c r="A36" s="28" t="s">
        <v>108</v>
      </c>
      <c r="B36" s="20" t="n">
        <f aca="false">B30+B31+B32+B33+B34+B35</f>
        <v>47810000</v>
      </c>
      <c r="C36" s="20" t="n">
        <f aca="false">C30+C31+C32+C33+C34+C35</f>
        <v>5810000</v>
      </c>
      <c r="D36" s="20" t="n">
        <f aca="false">D30+D31+D32+D33+D34+D35</f>
        <v>5810000</v>
      </c>
      <c r="E36" s="20" t="n">
        <f aca="false">E30+E31+E32+E33+E34+E35</f>
        <v>5810000</v>
      </c>
      <c r="F36" s="20" t="n">
        <f aca="false">F30+F31+F32+F33+F34+F35</f>
        <v>5810000</v>
      </c>
      <c r="G36" s="20" t="n">
        <f aca="false">G30+G31+G32+G33+G34+G35</f>
        <v>5810000</v>
      </c>
      <c r="H36" s="20" t="n">
        <f aca="false">H30+H31+H32+H33+H34+H35</f>
        <v>8202000</v>
      </c>
      <c r="I36" s="20" t="n">
        <f aca="false">I30+I31+I32+I33+I34+I35</f>
        <v>6602000</v>
      </c>
      <c r="J36" s="20" t="n">
        <f aca="false">J30+J31+J32+J33+J34+J35</f>
        <v>6602000</v>
      </c>
      <c r="K36" s="20" t="n">
        <f aca="false">K30+K31+K32+K33+K34+K35</f>
        <v>6602000</v>
      </c>
      <c r="L36" s="20" t="n">
        <f aca="false">L30+L31+L32+L33+L34+L35</f>
        <v>6602000</v>
      </c>
      <c r="M36" s="20" t="n">
        <f aca="false">M30+M31+M32+M33+M34+M35</f>
        <v>6602000</v>
      </c>
      <c r="N36" s="27" t="n">
        <f aca="false">SUM(B36:M36)</f>
        <v>118072000</v>
      </c>
    </row>
    <row r="37" customFormat="false" ht="15" hidden="false" customHeight="false" outlineLevel="0" collapsed="false">
      <c r="A37" s="28" t="s">
        <v>109</v>
      </c>
      <c r="B37" s="27" t="n">
        <f aca="false">B36*(1+'Nhập liệu'!$D$26)</f>
        <v>52591000</v>
      </c>
      <c r="C37" s="27" t="n">
        <f aca="false">B37+C36*(1+'Nhập liệu'!$D$26)</f>
        <v>58982000</v>
      </c>
      <c r="D37" s="27" t="n">
        <f aca="false">C37+D36*(1+'Nhập liệu'!$D$26)</f>
        <v>65373000</v>
      </c>
      <c r="E37" s="27" t="n">
        <f aca="false">D37+E36*(1+'Nhập liệu'!$D$26)</f>
        <v>71764000</v>
      </c>
      <c r="F37" s="27" t="n">
        <f aca="false">E37+F36*(1+'Nhập liệu'!$D$26)</f>
        <v>78155000</v>
      </c>
      <c r="G37" s="27" t="n">
        <f aca="false">F37+G36*(1+'Nhập liệu'!$D$26)</f>
        <v>84546000</v>
      </c>
      <c r="H37" s="27" t="n">
        <f aca="false">G37+H36*(1+'Nhập liệu'!$D$26)</f>
        <v>93568200</v>
      </c>
      <c r="I37" s="27" t="n">
        <f aca="false">H37+I36*(1+'Nhập liệu'!$D$26)</f>
        <v>100830400</v>
      </c>
      <c r="J37" s="27" t="n">
        <f aca="false">I37+J36*(1+'Nhập liệu'!$D$26)</f>
        <v>108092600</v>
      </c>
      <c r="K37" s="27" t="n">
        <f aca="false">J37+K36*(1+'Nhập liệu'!$D$26)</f>
        <v>115354800</v>
      </c>
      <c r="L37" s="27" t="n">
        <f aca="false">K37+L36*(1+'Nhập liệu'!$D$26)</f>
        <v>122617000</v>
      </c>
      <c r="M37" s="27" t="n">
        <f aca="false">L37+M36*(1+'Nhập liệu'!$D$26)</f>
        <v>129879200</v>
      </c>
      <c r="N37" s="27" t="n">
        <f aca="false">M37</f>
        <v>129879200</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0"/>
    <col collapsed="false" customWidth="true" hidden="false" outlineLevel="0" max="3" min="3" style="0" width="78"/>
    <col collapsed="false" customWidth="true" hidden="false" outlineLevel="0" max="4" min="4" style="0" width="12"/>
    <col collapsed="false" customWidth="true" hidden="false" outlineLevel="0" max="5" min="5" style="0" width="22"/>
    <col collapsed="false" customWidth="true" hidden="false" outlineLevel="0" max="6" min="6" style="0" width="38"/>
  </cols>
  <sheetData>
    <row r="1" customFormat="false" ht="19.7" hidden="false" customHeight="false" outlineLevel="0" collapsed="false">
      <c r="A1" s="1" t="s">
        <v>110</v>
      </c>
    </row>
    <row r="2" customFormat="false" ht="15" hidden="false" customHeight="false" outlineLevel="0" collapsed="false">
      <c r="A2" s="2" t="s">
        <v>111</v>
      </c>
    </row>
    <row r="4" customFormat="false" ht="15" hidden="false" customHeight="false" outlineLevel="0" collapsed="false">
      <c r="A4" s="6" t="s">
        <v>112</v>
      </c>
      <c r="B4" s="6" t="s">
        <v>113</v>
      </c>
      <c r="C4" s="6" t="s">
        <v>114</v>
      </c>
      <c r="D4" s="6" t="s">
        <v>115</v>
      </c>
      <c r="E4" s="6" t="s">
        <v>116</v>
      </c>
      <c r="F4" s="6" t="s">
        <v>117</v>
      </c>
    </row>
    <row r="5" customFormat="false" ht="43.5" hidden="false" customHeight="true" outlineLevel="0" collapsed="false">
      <c r="A5" s="18" t="n">
        <v>1</v>
      </c>
      <c r="B5" s="28" t="s">
        <v>118</v>
      </c>
      <c r="C5" s="7" t="s">
        <v>119</v>
      </c>
      <c r="D5" s="29" t="s">
        <v>120</v>
      </c>
      <c r="E5" s="8"/>
      <c r="F5" s="11"/>
    </row>
    <row r="6" customFormat="false" ht="43.5" hidden="false" customHeight="true" outlineLevel="0" collapsed="false">
      <c r="A6" s="18" t="n">
        <v>2</v>
      </c>
      <c r="B6" s="28" t="s">
        <v>121</v>
      </c>
      <c r="C6" s="7" t="s">
        <v>122</v>
      </c>
      <c r="D6" s="29" t="s">
        <v>120</v>
      </c>
      <c r="E6" s="8"/>
      <c r="F6" s="11"/>
    </row>
    <row r="7" customFormat="false" ht="43.5" hidden="false" customHeight="true" outlineLevel="0" collapsed="false">
      <c r="A7" s="18" t="n">
        <v>3</v>
      </c>
      <c r="B7" s="28" t="s">
        <v>123</v>
      </c>
      <c r="C7" s="7" t="s">
        <v>124</v>
      </c>
      <c r="D7" s="29" t="s">
        <v>120</v>
      </c>
      <c r="E7" s="8"/>
      <c r="F7" s="11"/>
    </row>
    <row r="8" customFormat="false" ht="43.5" hidden="false" customHeight="true" outlineLevel="0" collapsed="false">
      <c r="A8" s="18" t="n">
        <v>4</v>
      </c>
      <c r="B8" s="28" t="s">
        <v>125</v>
      </c>
      <c r="C8" s="7" t="s">
        <v>126</v>
      </c>
      <c r="D8" s="29" t="s">
        <v>120</v>
      </c>
      <c r="E8" s="8"/>
      <c r="F8" s="11"/>
    </row>
    <row r="9" customFormat="false" ht="43.5" hidden="false" customHeight="true" outlineLevel="0" collapsed="false">
      <c r="A9" s="18" t="n">
        <v>5</v>
      </c>
      <c r="B9" s="28" t="s">
        <v>127</v>
      </c>
      <c r="C9" s="7" t="s">
        <v>128</v>
      </c>
      <c r="D9" s="29" t="s">
        <v>120</v>
      </c>
      <c r="E9" s="8"/>
      <c r="F9" s="11"/>
    </row>
    <row r="10" customFormat="false" ht="43.5" hidden="false" customHeight="true" outlineLevel="0" collapsed="false">
      <c r="A10" s="18" t="n">
        <v>6</v>
      </c>
      <c r="B10" s="28" t="s">
        <v>129</v>
      </c>
      <c r="C10" s="7" t="s">
        <v>130</v>
      </c>
      <c r="D10" s="29" t="s">
        <v>120</v>
      </c>
      <c r="E10" s="8"/>
      <c r="F10" s="11"/>
    </row>
    <row r="11" customFormat="false" ht="43.5" hidden="false" customHeight="true" outlineLevel="0" collapsed="false">
      <c r="A11" s="18" t="n">
        <v>7</v>
      </c>
      <c r="B11" s="28" t="s">
        <v>131</v>
      </c>
      <c r="C11" s="7" t="s">
        <v>132</v>
      </c>
      <c r="D11" s="29" t="s">
        <v>120</v>
      </c>
      <c r="E11" s="8"/>
      <c r="F11" s="11"/>
    </row>
    <row r="12" customFormat="false" ht="43.5" hidden="false" customHeight="true" outlineLevel="0" collapsed="false">
      <c r="A12" s="18" t="n">
        <v>8</v>
      </c>
      <c r="B12" s="28" t="s">
        <v>133</v>
      </c>
      <c r="C12" s="7" t="s">
        <v>134</v>
      </c>
      <c r="D12" s="29" t="s">
        <v>120</v>
      </c>
      <c r="E12" s="8"/>
      <c r="F12" s="11"/>
    </row>
    <row r="13" customFormat="false" ht="43.5" hidden="false" customHeight="true" outlineLevel="0" collapsed="false">
      <c r="A13" s="18" t="n">
        <v>9</v>
      </c>
      <c r="B13" s="28" t="s">
        <v>135</v>
      </c>
      <c r="C13" s="7" t="s">
        <v>136</v>
      </c>
      <c r="D13" s="29" t="s">
        <v>120</v>
      </c>
      <c r="E13" s="8"/>
      <c r="F13" s="11"/>
    </row>
    <row r="14" customFormat="false" ht="43.5" hidden="false" customHeight="true" outlineLevel="0" collapsed="false">
      <c r="A14" s="18" t="n">
        <v>10</v>
      </c>
      <c r="B14" s="28" t="s">
        <v>137</v>
      </c>
      <c r="C14" s="7" t="s">
        <v>138</v>
      </c>
      <c r="D14" s="29" t="s">
        <v>120</v>
      </c>
      <c r="E14" s="8"/>
      <c r="F14" s="11"/>
    </row>
    <row r="15" customFormat="false" ht="43.5" hidden="false" customHeight="true" outlineLevel="0" collapsed="false">
      <c r="A15" s="18" t="n">
        <v>11</v>
      </c>
      <c r="B15" s="28" t="s">
        <v>139</v>
      </c>
      <c r="C15" s="7" t="s">
        <v>140</v>
      </c>
      <c r="D15" s="29" t="s">
        <v>120</v>
      </c>
      <c r="E15" s="8"/>
      <c r="F15" s="11"/>
    </row>
    <row r="16" customFormat="false" ht="43.5" hidden="false" customHeight="true" outlineLevel="0" collapsed="false">
      <c r="A16" s="18" t="n">
        <v>12</v>
      </c>
      <c r="B16" s="28" t="s">
        <v>141</v>
      </c>
      <c r="C16" s="7" t="s">
        <v>142</v>
      </c>
      <c r="D16" s="29" t="s">
        <v>120</v>
      </c>
      <c r="E16" s="8"/>
      <c r="F16" s="11"/>
    </row>
    <row r="17" customFormat="false" ht="43.5" hidden="false" customHeight="true" outlineLevel="0" collapsed="false">
      <c r="A17" s="18" t="n">
        <v>13</v>
      </c>
      <c r="B17" s="28" t="s">
        <v>143</v>
      </c>
      <c r="C17" s="7" t="s">
        <v>144</v>
      </c>
      <c r="D17" s="29" t="s">
        <v>120</v>
      </c>
      <c r="E17" s="8"/>
      <c r="F17" s="11"/>
    </row>
    <row r="18" customFormat="false" ht="43.5" hidden="false" customHeight="true" outlineLevel="0" collapsed="false">
      <c r="A18" s="18" t="n">
        <v>14</v>
      </c>
      <c r="B18" s="28" t="s">
        <v>145</v>
      </c>
      <c r="C18" s="7" t="s">
        <v>146</v>
      </c>
      <c r="D18" s="29" t="s">
        <v>120</v>
      </c>
      <c r="E18" s="8"/>
      <c r="F18" s="11"/>
    </row>
    <row r="19" customFormat="false" ht="43.5" hidden="false" customHeight="true" outlineLevel="0" collapsed="false">
      <c r="A19" s="18" t="n">
        <v>15</v>
      </c>
      <c r="B19" s="28" t="s">
        <v>147</v>
      </c>
      <c r="C19" s="7" t="s">
        <v>148</v>
      </c>
      <c r="D19" s="29" t="s">
        <v>120</v>
      </c>
      <c r="E19" s="8"/>
      <c r="F19" s="11"/>
    </row>
    <row r="20" customFormat="false" ht="43.5" hidden="false" customHeight="true" outlineLevel="0" collapsed="false">
      <c r="A20" s="18" t="n">
        <v>16</v>
      </c>
      <c r="B20" s="28" t="s">
        <v>149</v>
      </c>
      <c r="C20" s="7" t="s">
        <v>150</v>
      </c>
      <c r="D20" s="29" t="s">
        <v>120</v>
      </c>
      <c r="E20" s="8"/>
      <c r="F20" s="11"/>
    </row>
    <row r="21" customFormat="false" ht="43.5" hidden="false" customHeight="true" outlineLevel="0" collapsed="false">
      <c r="A21" s="18" t="n">
        <v>17</v>
      </c>
      <c r="B21" s="28" t="s">
        <v>151</v>
      </c>
      <c r="C21" s="7" t="s">
        <v>152</v>
      </c>
      <c r="D21" s="29" t="s">
        <v>120</v>
      </c>
      <c r="E21" s="8"/>
      <c r="F21" s="11"/>
    </row>
    <row r="22" customFormat="false" ht="43.5" hidden="false" customHeight="true" outlineLevel="0" collapsed="false">
      <c r="A22" s="18" t="n">
        <v>18</v>
      </c>
      <c r="B22" s="28" t="s">
        <v>153</v>
      </c>
      <c r="C22" s="7" t="s">
        <v>154</v>
      </c>
      <c r="D22" s="29" t="s">
        <v>120</v>
      </c>
      <c r="E22" s="8"/>
      <c r="F22" s="11"/>
    </row>
    <row r="23" customFormat="false" ht="43.5" hidden="false" customHeight="true" outlineLevel="0" collapsed="false">
      <c r="A23" s="18" t="n">
        <v>19</v>
      </c>
      <c r="B23" s="28" t="s">
        <v>155</v>
      </c>
      <c r="C23" s="7" t="s">
        <v>156</v>
      </c>
      <c r="D23" s="29" t="s">
        <v>120</v>
      </c>
      <c r="E23" s="8"/>
      <c r="F23" s="11"/>
    </row>
    <row r="24" customFormat="false" ht="43.5" hidden="false" customHeight="true" outlineLevel="0" collapsed="false">
      <c r="A24" s="18" t="n">
        <v>20</v>
      </c>
      <c r="B24" s="28" t="s">
        <v>157</v>
      </c>
      <c r="C24" s="7" t="s">
        <v>158</v>
      </c>
      <c r="D24" s="29" t="s">
        <v>120</v>
      </c>
      <c r="E24" s="8"/>
      <c r="F24" s="11"/>
    </row>
    <row r="26" customFormat="false" ht="15" hidden="false" customHeight="false" outlineLevel="0" collapsed="false">
      <c r="B26" s="17" t="s">
        <v>159</v>
      </c>
      <c r="C26" s="30" t="str">
        <f aca="false">COUNTIF(D5:D24,"Đã hỏi")&amp;" / "&amp;COUNTA(B5:B24)</f>
        <v>0 / 20</v>
      </c>
    </row>
    <row r="27" customFormat="false" ht="15" hidden="false" customHeight="false" outlineLevel="0" collapsed="false">
      <c r="B27" s="17" t="s">
        <v>160</v>
      </c>
      <c r="C27" s="27" t="n">
        <f aca="false">SUM(E5:E24)</f>
        <v>0</v>
      </c>
    </row>
    <row r="28" customFormat="false" ht="30" hidden="false" customHeight="true" outlineLevel="0" collapsed="false">
      <c r="B28" s="24" t="s">
        <v>161</v>
      </c>
      <c r="C28" s="24"/>
      <c r="D28" s="24"/>
      <c r="E28" s="24"/>
      <c r="F28" s="24"/>
    </row>
  </sheetData>
  <mergeCells count="1">
    <mergeCell ref="B28:F28"/>
  </mergeCells>
  <conditionalFormatting sqref="D5:D24">
    <cfRule type="expression" priority="2" aboveAverage="0" equalAverage="0" bottom="0" percent="0" rank="0" text="" dxfId="0">
      <formula>D5="Chưa"</formula>
    </cfRule>
  </conditionalFormatting>
  <dataValidations count="2">
    <dataValidation allowBlank="false" error="Chọn Chưa hoặc Đã hỏi." errorStyle="stop" errorTitle="Giá trị không hợp lệ" operator="between" showDropDown="false" showErrorMessage="true" showInputMessage="false" sqref="D5:D24" type="list">
      <formula1>"Chưa,Đã hỏi"</formula1>
      <formula2>0</formula2>
    </dataValidation>
    <dataValidation allowBlank="true" error="Nhập số không âm." errorStyle="stop" errorTitle="Giá trị không hợp lệ" operator="greaterThanOrEqual" showDropDown="false" showErrorMessage="true" showInputMessage="false" sqref="E5:E24" type="decimal">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10"/>
  </cols>
  <sheetData>
    <row r="1" customFormat="false" ht="19.7" hidden="false" customHeight="false" outlineLevel="0" collapsed="false">
      <c r="A1" s="1" t="s">
        <v>162</v>
      </c>
    </row>
    <row r="3" customFormat="false" ht="75.75" hidden="false" customHeight="true" outlineLevel="0" collapsed="false">
      <c r="A3" s="3" t="s">
        <v>163</v>
      </c>
      <c r="B3" s="4" t="s">
        <v>164</v>
      </c>
    </row>
    <row r="4" customFormat="false" ht="51.75" hidden="false" customHeight="true" outlineLevel="0" collapsed="false">
      <c r="A4" s="3" t="s">
        <v>165</v>
      </c>
      <c r="B4" s="4" t="s">
        <v>166</v>
      </c>
    </row>
    <row r="5" customFormat="false" ht="51.75" hidden="false" customHeight="true" outlineLevel="0" collapsed="false">
      <c r="A5" s="3" t="s">
        <v>167</v>
      </c>
      <c r="B5" s="4" t="s">
        <v>168</v>
      </c>
    </row>
    <row r="6" customFormat="false" ht="51.75" hidden="false" customHeight="true" outlineLevel="0" collapsed="false">
      <c r="A6" s="3" t="s">
        <v>169</v>
      </c>
      <c r="B6" s="4" t="s">
        <v>170</v>
      </c>
    </row>
    <row r="7" customFormat="false" ht="51.75" hidden="false" customHeight="true" outlineLevel="0" collapsed="false">
      <c r="A7" s="3" t="s">
        <v>171</v>
      </c>
      <c r="B7" s="4" t="s">
        <v>172</v>
      </c>
    </row>
    <row r="8" customFormat="false" ht="51.75" hidden="false" customHeight="true" outlineLevel="0" collapsed="false">
      <c r="A8" s="3" t="s">
        <v>173</v>
      </c>
      <c r="B8" s="4" t="s">
        <v>174</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2026-10-28T07:58:35Z</dcterms:created>
  <dc:creator>openpyxl</dc:creator>
  <dc:description/>
  <dc:language>en-US</dc:language>
  <cp:lastModifiedBy/>
  <dcterms:modified xsi:type="dcterms:W3CDTF">2026-10-28T07:58:37Z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